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benediktkramer/Library/Application Support/Claude/local-agent-mode-sessions/4d694cb7-a4ba-4663-8d65-d9b79f747e92/d03a93b6-f8b9-4d84-af3a-87bc3937d31b/local_0046a23e-c1fe-4093-ae15-00cd9ee0e317/outputs/"/>
    </mc:Choice>
  </mc:AlternateContent>
  <xr:revisionPtr revIDLastSave="0" documentId="13_ncr:1_{DDD81DB8-B95D-C246-82D3-A8C3F62BD4EC}" xr6:coauthVersionLast="47" xr6:coauthVersionMax="47" xr10:uidLastSave="{00000000-0000-0000-0000-000000000000}"/>
  <bookViews>
    <workbookView xWindow="-31540" yWindow="-5560" windowWidth="24980" windowHeight="16920" activeTab="6" xr2:uid="{00000000-000D-0000-FFFF-FFFF00000000}"/>
  </bookViews>
  <sheets>
    <sheet name="01_Übersicht" sheetId="1" r:id="rId1"/>
    <sheet name="Daten_Anreise" sheetId="2" r:id="rId2"/>
    <sheet name="Modal_Split" sheetId="3" r:id="rId3"/>
    <sheet name="CO2_Bilanz" sheetId="4" r:id="rId4"/>
    <sheet name="Distanz_Herkunft" sheetId="5" r:id="rId5"/>
    <sheet name="Demografie" sheetId="6" r:id="rId6"/>
    <sheet name="Frage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" i="5"/>
  <c r="E3" i="4"/>
  <c r="E3" i="3"/>
  <c r="C20" i="7"/>
  <c r="C19" i="7"/>
  <c r="C18" i="7"/>
  <c r="C17" i="7"/>
  <c r="C11" i="7"/>
  <c r="C10" i="7"/>
  <c r="C9" i="7"/>
  <c r="C8" i="7"/>
  <c r="C7" i="7"/>
  <c r="C12" i="7" s="1"/>
  <c r="D30" i="6"/>
  <c r="C30" i="6"/>
  <c r="D29" i="6"/>
  <c r="C29" i="6"/>
  <c r="D28" i="6"/>
  <c r="C28" i="6"/>
  <c r="D27" i="6"/>
  <c r="C27" i="6"/>
  <c r="D26" i="6"/>
  <c r="C26" i="6"/>
  <c r="D25" i="6"/>
  <c r="D31" i="6" s="1"/>
  <c r="C25" i="6"/>
  <c r="C31" i="6" s="1"/>
  <c r="C19" i="6"/>
  <c r="C18" i="6"/>
  <c r="C17" i="6"/>
  <c r="C16" i="6"/>
  <c r="C15" i="6"/>
  <c r="C14" i="6"/>
  <c r="C20" i="6" s="1"/>
  <c r="C8" i="6"/>
  <c r="C7" i="6"/>
  <c r="C3" i="6"/>
  <c r="C24" i="5"/>
  <c r="C23" i="5"/>
  <c r="C22" i="5"/>
  <c r="C21" i="5"/>
  <c r="C20" i="5"/>
  <c r="J18" i="5"/>
  <c r="J17" i="5"/>
  <c r="J16" i="5"/>
  <c r="J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C3" i="5"/>
  <c r="G3" i="5" s="1"/>
  <c r="C9" i="4"/>
  <c r="C8" i="4"/>
  <c r="C7" i="4"/>
  <c r="C10" i="4" s="1"/>
  <c r="D8" i="4" s="1"/>
  <c r="G3" i="4"/>
  <c r="J9" i="4" s="1"/>
  <c r="C3" i="4"/>
  <c r="J14" i="3"/>
  <c r="J13" i="3"/>
  <c r="J12" i="3"/>
  <c r="J11" i="3"/>
  <c r="J10" i="3"/>
  <c r="C10" i="3"/>
  <c r="J9" i="3"/>
  <c r="C9" i="3"/>
  <c r="J8" i="3"/>
  <c r="C8" i="3"/>
  <c r="J7" i="3"/>
  <c r="J15" i="3" s="1"/>
  <c r="C7" i="3"/>
  <c r="C3" i="3"/>
  <c r="C21" i="1"/>
  <c r="C20" i="1"/>
  <c r="C15" i="1"/>
  <c r="C14" i="1"/>
  <c r="C13" i="1"/>
  <c r="C10" i="1"/>
  <c r="G10" i="1" s="1"/>
  <c r="G3" i="6" l="1"/>
  <c r="E17" i="6" s="1"/>
  <c r="E9" i="4"/>
  <c r="E8" i="4"/>
  <c r="E11" i="7"/>
  <c r="E18" i="7"/>
  <c r="G3" i="3"/>
  <c r="E9" i="3" s="1"/>
  <c r="E8" i="7"/>
  <c r="E9" i="7"/>
  <c r="L14" i="3"/>
  <c r="E10" i="7"/>
  <c r="E20" i="7"/>
  <c r="K14" i="5"/>
  <c r="K7" i="5"/>
  <c r="K11" i="5"/>
  <c r="L16" i="5"/>
  <c r="E19" i="6"/>
  <c r="D12" i="5"/>
  <c r="K8" i="5"/>
  <c r="K13" i="3"/>
  <c r="K11" i="3"/>
  <c r="K10" i="3"/>
  <c r="K9" i="3"/>
  <c r="K8" i="3"/>
  <c r="K7" i="3"/>
  <c r="L14" i="5"/>
  <c r="L13" i="5"/>
  <c r="L12" i="5"/>
  <c r="L11" i="5"/>
  <c r="L10" i="5"/>
  <c r="L9" i="5"/>
  <c r="L8" i="5"/>
  <c r="L7" i="5"/>
  <c r="E23" i="5"/>
  <c r="E21" i="5"/>
  <c r="E14" i="5"/>
  <c r="E13" i="5"/>
  <c r="E12" i="5"/>
  <c r="E11" i="5"/>
  <c r="E10" i="5"/>
  <c r="E9" i="5"/>
  <c r="E8" i="5"/>
  <c r="E7" i="5"/>
  <c r="E24" i="5"/>
  <c r="E22" i="5"/>
  <c r="E20" i="5"/>
  <c r="K10" i="5"/>
  <c r="D23" i="5"/>
  <c r="L15" i="5"/>
  <c r="D8" i="5"/>
  <c r="L18" i="5"/>
  <c r="D9" i="5"/>
  <c r="D13" i="5"/>
  <c r="L17" i="5"/>
  <c r="D7" i="6"/>
  <c r="E10" i="3"/>
  <c r="L9" i="3"/>
  <c r="L7" i="3"/>
  <c r="K9" i="5"/>
  <c r="K13" i="5"/>
  <c r="E15" i="6"/>
  <c r="D19" i="7"/>
  <c r="D10" i="5"/>
  <c r="D14" i="5"/>
  <c r="E16" i="6"/>
  <c r="E17" i="7"/>
  <c r="E19" i="7"/>
  <c r="K16" i="5"/>
  <c r="K18" i="5"/>
  <c r="D14" i="6"/>
  <c r="D16" i="6"/>
  <c r="D18" i="6"/>
  <c r="D7" i="7"/>
  <c r="D9" i="7"/>
  <c r="D11" i="7"/>
  <c r="K12" i="3"/>
  <c r="K14" i="3"/>
  <c r="D7" i="4"/>
  <c r="D9" i="4"/>
  <c r="C15" i="5"/>
  <c r="D7" i="5" s="1"/>
  <c r="C25" i="5"/>
  <c r="D22" i="5" s="1"/>
  <c r="E14" i="6"/>
  <c r="E7" i="7"/>
  <c r="C11" i="3"/>
  <c r="E7" i="4"/>
  <c r="D18" i="7"/>
  <c r="D20" i="7"/>
  <c r="J19" i="5"/>
  <c r="K12" i="5" s="1"/>
  <c r="K15" i="5"/>
  <c r="K17" i="5"/>
  <c r="D15" i="6"/>
  <c r="D17" i="6"/>
  <c r="D19" i="6"/>
  <c r="D8" i="7"/>
  <c r="D10" i="7"/>
  <c r="C21" i="7"/>
  <c r="D17" i="7" s="1"/>
  <c r="C9" i="6"/>
  <c r="D8" i="6" s="1"/>
  <c r="E7" i="6" l="1"/>
  <c r="E9" i="6" s="1"/>
  <c r="F7" i="6" s="1"/>
  <c r="E18" i="6"/>
  <c r="E8" i="6"/>
  <c r="L11" i="3"/>
  <c r="E7" i="3"/>
  <c r="L10" i="3"/>
  <c r="L13" i="3"/>
  <c r="L8" i="3"/>
  <c r="E8" i="3"/>
  <c r="E11" i="3" s="1"/>
  <c r="F9" i="3" s="1"/>
  <c r="L12" i="3"/>
  <c r="D20" i="5"/>
  <c r="E10" i="4"/>
  <c r="F7" i="4"/>
  <c r="D21" i="5"/>
  <c r="F9" i="5"/>
  <c r="L19" i="5"/>
  <c r="M18" i="5" s="1"/>
  <c r="D10" i="3"/>
  <c r="D9" i="3"/>
  <c r="D8" i="3"/>
  <c r="D7" i="3"/>
  <c r="E12" i="7"/>
  <c r="F7" i="7" s="1"/>
  <c r="E21" i="7"/>
  <c r="F17" i="7" s="1"/>
  <c r="E25" i="5"/>
  <c r="F20" i="5" s="1"/>
  <c r="D24" i="5"/>
  <c r="F13" i="5"/>
  <c r="F24" i="5"/>
  <c r="F14" i="5"/>
  <c r="E20" i="6"/>
  <c r="F19" i="6" s="1"/>
  <c r="D11" i="5"/>
  <c r="E15" i="5"/>
  <c r="F11" i="5" s="1"/>
  <c r="F21" i="5"/>
  <c r="F8" i="6" l="1"/>
  <c r="F16" i="6"/>
  <c r="F22" i="5"/>
  <c r="M15" i="5"/>
  <c r="M17" i="5"/>
  <c r="M10" i="5"/>
  <c r="M14" i="5"/>
  <c r="M11" i="5"/>
  <c r="M16" i="5"/>
  <c r="M12" i="5"/>
  <c r="M13" i="5"/>
  <c r="M8" i="5"/>
  <c r="M9" i="5"/>
  <c r="F10" i="5"/>
  <c r="M7" i="5"/>
  <c r="F8" i="5"/>
  <c r="L15" i="3"/>
  <c r="M10" i="3"/>
  <c r="M7" i="3"/>
  <c r="M11" i="3"/>
  <c r="M9" i="3"/>
  <c r="M8" i="3"/>
  <c r="F19" i="7"/>
  <c r="F8" i="3"/>
  <c r="F7" i="3"/>
  <c r="F10" i="3"/>
  <c r="F23" i="5"/>
  <c r="F18" i="7"/>
  <c r="F20" i="7"/>
  <c r="F18" i="6"/>
  <c r="F17" i="6"/>
  <c r="F8" i="4"/>
  <c r="F9" i="4"/>
  <c r="F12" i="5"/>
  <c r="F14" i="6"/>
  <c r="F7" i="5"/>
  <c r="M12" i="3"/>
  <c r="M14" i="3"/>
  <c r="M13" i="3"/>
  <c r="F9" i="7"/>
  <c r="F8" i="7"/>
  <c r="F10" i="7"/>
  <c r="F11" i="7"/>
  <c r="F15" i="6"/>
</calcChain>
</file>

<file path=xl/sharedStrings.xml><?xml version="1.0" encoding="utf-8"?>
<sst xmlns="http://schemas.openxmlformats.org/spreadsheetml/2006/main" count="1296" uniqueCount="256">
  <si>
    <t>Mobilitätsauswertung – Saalfelden Fokusjahre 2026</t>
  </si>
  <si>
    <t>📋 Event-Informationen</t>
  </si>
  <si>
    <t>Veranstaltung</t>
  </si>
  <si>
    <t>Saalfelden Fokusjahre 2026</t>
  </si>
  <si>
    <t>Datum</t>
  </si>
  <si>
    <t>15. April 2026</t>
  </si>
  <si>
    <t>Veranstalter / Ort</t>
  </si>
  <si>
    <t>Saalfelden / Leogang</t>
  </si>
  <si>
    <t>Auswertungsdatum</t>
  </si>
  <si>
    <t>April 2026</t>
  </si>
  <si>
    <t>📊 Stichprobe &amp; Hochrechnung</t>
  </si>
  <si>
    <t>Stichprobe (n)</t>
  </si>
  <si>
    <t>Gesamtteilnehmer
(bitte ausfüllen!)</t>
  </si>
  <si>
    <t>Hochrechnungsfaktor</t>
  </si>
  <si>
    <t>🌿 Klimabilanz (Stichprobe)</t>
  </si>
  <si>
    <t>CO₂ gesamt (kg)</t>
  </si>
  <si>
    <t>CO₂ Ø pro Person (kg)</t>
  </si>
  <si>
    <t>Ø Distanz (km)</t>
  </si>
  <si>
    <t>ÖV-Einsparpotenzial (kg CO₂)</t>
  </si>
  <si>
    <t>407.21</t>
  </si>
  <si>
    <t>📈 Erhebungsrücklauf &amp; Datenpotenzial</t>
  </si>
  <si>
    <t>Merkmal</t>
  </si>
  <si>
    <t>Anzahl (n)</t>
  </si>
  <si>
    <t>Anteil</t>
  </si>
  <si>
    <t>Einreichungen gesamt</t>
  </si>
  <si>
    <t>100%</t>
  </si>
  <si>
    <t>mit Geschlecht/Alter</t>
  </si>
  <si>
    <t>69%</t>
  </si>
  <si>
    <t>mit Q1-Antwort (Hindernis)</t>
  </si>
  <si>
    <t>49</t>
  </si>
  <si>
    <t>68%</t>
  </si>
  <si>
    <t>mit Q2-Antwort (Motivation)</t>
  </si>
  <si>
    <t>31</t>
  </si>
  <si>
    <t>43%</t>
  </si>
  <si>
    <t>💡 Für eine vollständige CO₂-Bilanz empfehlen wir die Erfassung aller Teilnehmenden (Hochrechnung). Eine höhere Rücklaufquote bei Demografie &amp; Fragen ermöglicht tiefere Einblicke in Zielgruppen und Mobilitätsbarrieren.</t>
  </si>
  <si>
    <t>🚗 Ländlicher Standort: MIV-Anteil 50%, ÖV nur 17%. Hohe Q1-Rücklaufquote (68%): Haupthindernis ist der Weg zur Haltestelle (57%). Potenzial: Shuttle-Angebot oder Sammelfahrten könnten CO₂ stark senken. Bitte Gesamtteilnehmerzahl für Hochrechnung eintragen.</t>
  </si>
  <si>
    <t>#</t>
  </si>
  <si>
    <t>Submission ID</t>
  </si>
  <si>
    <t>Anreiseart</t>
  </si>
  <si>
    <t>Verkehrsmittel (EN)</t>
  </si>
  <si>
    <t>Verkehrsmittel (DE)</t>
  </si>
  <si>
    <t>Kategorie</t>
  </si>
  <si>
    <t>Stadt</t>
  </si>
  <si>
    <t>PLZ</t>
  </si>
  <si>
    <t>Land</t>
  </si>
  <si>
    <t>Region</t>
  </si>
  <si>
    <t>Distanz (m)</t>
  </si>
  <si>
    <t>Distanz (km)</t>
  </si>
  <si>
    <t>Distanzklasse</t>
  </si>
  <si>
    <t>Reisedauer (min)</t>
  </si>
  <si>
    <t>CO₂ (g)</t>
  </si>
  <si>
    <t>CO₂ (kg)</t>
  </si>
  <si>
    <t>Geschlecht</t>
  </si>
  <si>
    <t>Altersgruppe</t>
  </si>
  <si>
    <t>Q1: Hindernis</t>
  </si>
  <si>
    <t>Q2: Motivation</t>
  </si>
  <si>
    <t>434c6ae5-6faa-4d84-bfc3-1ab0112b9435</t>
  </si>
  <si>
    <t>4/15/2026</t>
  </si>
  <si>
    <t>myself</t>
  </si>
  <si>
    <t>car_electric</t>
  </si>
  <si>
    <t>PKW Elektro</t>
  </si>
  <si>
    <t>MIV elektro/hybrid</t>
  </si>
  <si>
    <t>Leogang</t>
  </si>
  <si>
    <t>5771.0</t>
  </si>
  <si>
    <t>Österreich</t>
  </si>
  <si>
    <t>Salzburg</t>
  </si>
  <si>
    <t>21–50 km</t>
  </si>
  <si>
    <t>weiblich</t>
  </si>
  <si>
    <t>64+</t>
  </si>
  <si>
    <t>🚶 Der Weg vom Bahnhof/zur Haltestelle zum Zielort ist schwierig</t>
  </si>
  <si>
    <t>🚎 Eine bessere Anbindung der Strecke</t>
  </si>
  <si>
    <t>9a76f3bc-22b6-4f5c-a9d6-feadca2c4e5c</t>
  </si>
  <si>
    <t>car_hybrid</t>
  </si>
  <si>
    <t>PKW Hybrid</t>
  </si>
  <si>
    <t>5–20 km</t>
  </si>
  <si>
    <t>männlich</t>
  </si>
  <si>
    <t>45-54</t>
  </si>
  <si>
    <t>🕒 Die Gesamtfahrzeit war zu lang</t>
  </si>
  <si>
    <t>da0ee5c9-ed35-4851-8a39-2396b28a2699</t>
  </si>
  <si>
    <t>foot</t>
  </si>
  <si>
    <t>Zu Fuß</t>
  </si>
  <si>
    <t>Aktive Mobilität</t>
  </si>
  <si>
    <t>Saalfelden am Steinernen Meer</t>
  </si>
  <si>
    <t>5760.0</t>
  </si>
  <si>
    <t>nan</t>
  </si>
  <si>
    <t>🧭 bessere Planungstools (neben Google Maps) für die Anreise</t>
  </si>
  <si>
    <t>2c08de27-3f38-458e-a86a-e04e90ef96f4</t>
  </si>
  <si>
    <t>car_diesel</t>
  </si>
  <si>
    <t>PKW Diesel</t>
  </si>
  <si>
    <t>MIV fossil</t>
  </si>
  <si>
    <t>55-64</t>
  </si>
  <si>
    <t>14cbb2db-cc03-4955-b43c-7ceafa56d9d7</t>
  </si>
  <si>
    <t>c6f8efa4-9929-4ea8-a08b-9d4ddc3dff78</t>
  </si>
  <si>
    <t>a5efd22b-e468-4963-9ca3-283eefb86df9</t>
  </si>
  <si>
    <t>bb2b0a08-1640-429f-a27d-022235f67f7d</t>
  </si>
  <si>
    <t>car_petrol</t>
  </si>
  <si>
    <t>PKW Benzin</t>
  </si>
  <si>
    <t>25-34</t>
  </si>
  <si>
    <t>1dc01613-92fd-4b36-b12d-c3b9226d2e18</t>
  </si>
  <si>
    <t>d0f2a48f-6fec-4e22-a533-fd7660ea2ddb</t>
  </si>
  <si>
    <t>Mittersill</t>
  </si>
  <si>
    <t>35-44</t>
  </si>
  <si>
    <t>d561c0cd-061d-4380-aa2e-8d1df05f1f73</t>
  </si>
  <si>
    <t>train</t>
  </si>
  <si>
    <t>Zug/Bahn</t>
  </si>
  <si>
    <t>ÖV</t>
  </si>
  <si>
    <t>Maria Lanzendorf</t>
  </si>
  <si>
    <t>301–500 km</t>
  </si>
  <si>
    <t>2a68a610-14d0-4674-a86f-219fa9fbf92a</t>
  </si>
  <si>
    <t>bus</t>
  </si>
  <si>
    <t>Bus</t>
  </si>
  <si>
    <t>Kaprun</t>
  </si>
  <si>
    <t>5710.0</t>
  </si>
  <si>
    <t>723b316b-b71e-49f8-b6a0-367b36458893</t>
  </si>
  <si>
    <t>Hinterglemm</t>
  </si>
  <si>
    <t>18-24</t>
  </si>
  <si>
    <t>25caa19d-7d6a-4f84-9fce-cb52a7d46f7f</t>
  </si>
  <si>
    <t>Zell am See</t>
  </si>
  <si>
    <t>5700.0</t>
  </si>
  <si>
    <t>&lt; 5 km</t>
  </si>
  <si>
    <t>02ebb9e0-b1a2-470c-a3ab-a9e8f35ac04c</t>
  </si>
  <si>
    <t>1bfff471-9c46-4879-9a82-e2ff5f9b18b0</t>
  </si>
  <si>
    <t>fa7e016e-1f28-45ac-97a4-1472b47e6a6e</t>
  </si>
  <si>
    <t>1edb8af1-aed2-4681-bb5a-8aef005fce36</t>
  </si>
  <si>
    <t>eab17ab1-d507-4dc9-96f7-962bf6236829</t>
  </si>
  <si>
    <t>544783bd-ae36-4886-a6a2-9574dd08c4cb</t>
  </si>
  <si>
    <t>09ff1cc4-8c74-4e84-b155-fe3dd85b8802</t>
  </si>
  <si>
    <t>❓ Ich wusste nicht, dass es passende Angebote gibt</t>
  </si>
  <si>
    <t>🅿️ Hohe Parkgebühren vor Ort</t>
  </si>
  <si>
    <t>d552f3e1-6c36-45a1-b60c-a4661b485fa3</t>
  </si>
  <si>
    <t>🔁 Zu viele Umstiege erforderlich</t>
  </si>
  <si>
    <t>effb7cfc-c949-4823-9d10-bb79b114836f-1</t>
  </si>
  <si>
    <t>group</t>
  </si>
  <si>
    <t>effb7cfc-c949-4823-9d10-bb79b114836f-2</t>
  </si>
  <si>
    <t>effb7cfc-c949-4823-9d10-bb79b114836f-3</t>
  </si>
  <si>
    <t>effb7cfc-c949-4823-9d10-bb79b114836f-4</t>
  </si>
  <si>
    <t>effb7cfc-c949-4823-9d10-bb79b114836f-5</t>
  </si>
  <si>
    <t>effb7cfc-c949-4823-9d10-bb79b114836f-6</t>
  </si>
  <si>
    <t>effb7cfc-c949-4823-9d10-bb79b114836f-7</t>
  </si>
  <si>
    <t>effb7cfc-c949-4823-9d10-bb79b114836f-8</t>
  </si>
  <si>
    <t>effb7cfc-c949-4823-9d10-bb79b114836f-9</t>
  </si>
  <si>
    <t>effb7cfc-c949-4823-9d10-bb79b114836f-10</t>
  </si>
  <si>
    <t>effb7cfc-c949-4823-9d10-bb79b114836f-11</t>
  </si>
  <si>
    <t>effb7cfc-c949-4823-9d10-bb79b114836f-12</t>
  </si>
  <si>
    <t>effb7cfc-c949-4823-9d10-bb79b114836f-13</t>
  </si>
  <si>
    <t>effb7cfc-c949-4823-9d10-bb79b114836f-14</t>
  </si>
  <si>
    <t>effb7cfc-c949-4823-9d10-bb79b114836f-15</t>
  </si>
  <si>
    <t>effb7cfc-c949-4823-9d10-bb79b114836f-16</t>
  </si>
  <si>
    <t>effb7cfc-c949-4823-9d10-bb79b114836f-17</t>
  </si>
  <si>
    <t>effb7cfc-c949-4823-9d10-bb79b114836f-18</t>
  </si>
  <si>
    <t>effb7cfc-c949-4823-9d10-bb79b114836f-19</t>
  </si>
  <si>
    <t>effb7cfc-c949-4823-9d10-bb79b114836f-20</t>
  </si>
  <si>
    <t>bcba84a5-8e02-444e-89d3-6a3b6d603ffc</t>
  </si>
  <si>
    <t>Berchtesgaden</t>
  </si>
  <si>
    <t>83471.0</t>
  </si>
  <si>
    <t>Deutschland</t>
  </si>
  <si>
    <t>51–150 km</t>
  </si>
  <si>
    <t>b3be1959-90b4-4e7f-a386-ce2db1649c17</t>
  </si>
  <si>
    <t>💶 Der Preis war zu hoch</t>
  </si>
  <si>
    <t>f1c6020c-1517-406a-ae23-9173bb45550c</t>
  </si>
  <si>
    <t>Sankt Johann in Tirol</t>
  </si>
  <si>
    <t>6fa059f0-057e-46b8-a94f-a7759097602b</t>
  </si>
  <si>
    <t>Bruck an der Großglocknerstraße</t>
  </si>
  <si>
    <t>778e4446-4fda-4b99-9eef-0f11e70f1c38</t>
  </si>
  <si>
    <t>c48f5bff-26b5-4446-9eb8-52d81b0edc20</t>
  </si>
  <si>
    <t>❓ Ich wusste nicht, dass es passende Angebote gibt, 🕒 Die Gesamtfahrzeit war zu lang</t>
  </si>
  <si>
    <t>3d65581f-ad44-4c1b-a9d1-274bb308b201</t>
  </si>
  <si>
    <t>Weißbach bei Lofer</t>
  </si>
  <si>
    <t>5093.0</t>
  </si>
  <si>
    <t>8027cdd4-425a-42dd-92e4-16ac85530821</t>
  </si>
  <si>
    <t>4774b788-080b-4c64-a24e-68a42701727d</t>
  </si>
  <si>
    <t>059430ff-1d77-49ac-8792-9c62307ed79d</t>
  </si>
  <si>
    <t>66e2f977-c8b9-475c-b6c1-879e5ca81f17</t>
  </si>
  <si>
    <t>99588284-5079-4145-8fe3-e22dba38f4ab</t>
  </si>
  <si>
    <t>Wien</t>
  </si>
  <si>
    <t>1120.0</t>
  </si>
  <si>
    <t>fb84b17d-7450-4ab2-8065-0b0d03358222</t>
  </si>
  <si>
    <t>Gmunden</t>
  </si>
  <si>
    <t>4810.0</t>
  </si>
  <si>
    <t>Oberösterreich</t>
  </si>
  <si>
    <t>151–300 km</t>
  </si>
  <si>
    <t>68c3d58b-26ac-43de-b855-bd613398bd3a</t>
  </si>
  <si>
    <t>5b30e962-f43a-4742-be1a-de422955dbcb</t>
  </si>
  <si>
    <t>Bad Hofgastein</t>
  </si>
  <si>
    <t>5630.0</t>
  </si>
  <si>
    <t>a6b1ae84-cbd2-4e69-879b-d927d2e7dde9</t>
  </si>
  <si>
    <t>Sankt Veit im Pongau</t>
  </si>
  <si>
    <t>5621.0</t>
  </si>
  <si>
    <t>8e870085-ad95-4eb3-88f1-a2379cfe9c86</t>
  </si>
  <si>
    <t>a47c9a0b-ddb4-4e58-b655-42eb2312aa0e</t>
  </si>
  <si>
    <t>5020.0</t>
  </si>
  <si>
    <t>da2fe5d5-26c3-42d7-aa18-3b820a953afa</t>
  </si>
  <si>
    <t>2f106dca-c388-4500-bfaa-9718dbba521a</t>
  </si>
  <si>
    <t>Mils</t>
  </si>
  <si>
    <t>ba33ee83-8f94-47b1-b50f-5f93c4b58c92</t>
  </si>
  <si>
    <t>7533fbf2-d2b0-4ac3-89b2-e19a640981f9</t>
  </si>
  <si>
    <t>7d654381-2e0c-48f8-b78a-884d4797573d</t>
  </si>
  <si>
    <t>bike</t>
  </si>
  <si>
    <t>Fahrrad</t>
  </si>
  <si>
    <t>481c94cf-643a-443b-9a5e-915d9cccb821</t>
  </si>
  <si>
    <t>Bad Reichenhall</t>
  </si>
  <si>
    <t>83.0</t>
  </si>
  <si>
    <t>🎟️ Anreizsysteme (Getränkegutscheine, etc.), 🚎 Eine bessere Anbindung der Strecke, 🧭 bessere Planungstools (neben Google Maps) für die Anreise</t>
  </si>
  <si>
    <t>b347a383-0ee1-4886-a221-21fc9d53d979</t>
  </si>
  <si>
    <t>3a640f2f-8c13-427a-b96e-421fbee16a81</t>
  </si>
  <si>
    <t>00b7adc2-4193-4d60-a4c1-6d0da3c668d9</t>
  </si>
  <si>
    <t>Innsbruck</t>
  </si>
  <si>
    <t>fdf8110c-0c7a-43b3-87ef-69472924708b</t>
  </si>
  <si>
    <t>Tenneck</t>
  </si>
  <si>
    <t>5451.0</t>
  </si>
  <si>
    <t>7999207c-32c7-4482-9547-13d2346eb340</t>
  </si>
  <si>
    <t>f898384d-141c-451a-9c55-d80cbd10d42f</t>
  </si>
  <si>
    <t>Bischofshofen</t>
  </si>
  <si>
    <t>Modal Split – Saalfelden Fokusjahre 2026</t>
  </si>
  <si>
    <t>Verkehrskategorien (n=72)</t>
  </si>
  <si>
    <t>Verkehrsmittel Detail (n=72)</t>
  </si>
  <si>
    <t>Anteil (%)</t>
  </si>
  <si>
    <t>Hochger. (n)</t>
  </si>
  <si>
    <t>Hochger. (%)</t>
  </si>
  <si>
    <t>Verkehrsmittel</t>
  </si>
  <si>
    <t>GESAMT</t>
  </si>
  <si>
    <t>CO₂-Bilanz – Saalfelden Fokusjahre 2026</t>
  </si>
  <si>
    <t>CO₂ nach Kategorie</t>
  </si>
  <si>
    <t>ÖV-Einsparpotenzial</t>
  </si>
  <si>
    <t>Hochger. (kg)</t>
  </si>
  <si>
    <t>MIV-Äquivalent (kg CO₂)</t>
  </si>
  <si>
    <t>428.84</t>
  </si>
  <si>
    <t>Tatsächl. ÖV CO₂ (kg)</t>
  </si>
  <si>
    <t>21.63</t>
  </si>
  <si>
    <t>Einsparpotenzial (kg)</t>
  </si>
  <si>
    <t>Hochger. Einsparpotenzial</t>
  </si>
  <si>
    <t>Distanz &amp; Herkunft – Saalfelden Fokusjahre 2026</t>
  </si>
  <si>
    <t>Distanzklassen (n=72)</t>
  </si>
  <si>
    <t>Top-Herkunftsorte</t>
  </si>
  <si>
    <t>501–1.000 km</t>
  </si>
  <si>
    <t>&gt; 1.000 km</t>
  </si>
  <si>
    <t>Herkunft nach Region (n=72)</t>
  </si>
  <si>
    <t>Demografie – Saalfelden Fokusjahre 2026</t>
  </si>
  <si>
    <t>Geschlecht (n_demo=50)</t>
  </si>
  <si>
    <t>Altersgruppen (n_demo=50)</t>
  </si>
  <si>
    <t>Altersstruktur nach Geschlecht (% an Gesamt)</t>
  </si>
  <si>
    <t>Fragen – Saalfelden Fokusjahre 2026</t>
  </si>
  <si>
    <t>Stichprobe Q1 (n=49)</t>
  </si>
  <si>
    <t>Q1: Hindernis Zug/Bahn (n=49, Mehrfachnennung)</t>
  </si>
  <si>
    <t>Antwort</t>
  </si>
  <si>
    <t>🕒 Gesamtfahrzeit zu lang</t>
  </si>
  <si>
    <t>🚶 Weg zur Haltestelle schwierig</t>
  </si>
  <si>
    <t>🔁 Zu viele Umstiege</t>
  </si>
  <si>
    <t>💶 Preis zu hoch</t>
  </si>
  <si>
    <t>❓ Kein passendes Angebot</t>
  </si>
  <si>
    <t>Stichprobe Q2 (n=31)</t>
  </si>
  <si>
    <t>Q2: Motivation nachhaltige Anreise (n=31, Mehrfachnennung)</t>
  </si>
  <si>
    <t>🚎 Bessere Streckenanbindung</t>
  </si>
  <si>
    <t>🎟 Anreizsysteme (Gutscheine etc.)</t>
  </si>
  <si>
    <t>🅿 Hohe Parkgebühren vor Ort</t>
  </si>
  <si>
    <t>🧭 Bessere Planungstools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</si>
</sst>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2F0F4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rgb="FFB45309"/>
      <name val="Arial"/>
      <family val="2"/>
    </font>
    <font>
      <b/>
      <sz val="10"/>
      <color rgb="FFFFFFFF"/>
      <name val="Arial"/>
      <family val="2"/>
    </font>
    <font>
      <i/>
      <sz val="9"/>
      <color rgb="FF5D4037"/>
      <name val="Arial"/>
      <family val="2"/>
    </font>
    <font>
      <i/>
      <sz val="9"/>
      <color rgb="FF2F0F43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F0F43"/>
      </patternFill>
    </fill>
    <fill>
      <patternFill patternType="solid">
        <fgColor rgb="FFF4EDF8"/>
      </patternFill>
    </fill>
    <fill>
      <patternFill patternType="solid">
        <fgColor rgb="FFFFFFFF"/>
      </patternFill>
    </fill>
    <fill>
      <patternFill patternType="solid">
        <fgColor rgb="FF6B2FA0"/>
      </patternFill>
    </fill>
    <fill>
      <patternFill patternType="solid">
        <fgColor rgb="FFFFD600"/>
      </patternFill>
    </fill>
    <fill>
      <patternFill patternType="solid">
        <fgColor rgb="FFFFF9C4"/>
      </patternFill>
    </fill>
    <fill>
      <patternFill patternType="solid">
        <fgColor rgb="FFE0F2F1"/>
      </patternFill>
    </fill>
    <fill>
      <patternFill patternType="solid">
        <fgColor rgb="FFFFF3E0"/>
      </patternFill>
    </fill>
    <fill>
      <patternFill patternType="solid">
        <f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0" fillId="0" borderId="0" xfId="0"/>
    <xf numFmtId="0" fontId="9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Modal Split (n=72)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Modal_Split!$C$6</c:f>
              <c:strCache>
                <c:ptCount val="1"/>
                <c:pt idx="0">
                  <c:v>Anzahl (n)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7B4AB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5C-4147-B1DA-87786F20415B}"/>
              </c:ext>
            </c:extLst>
          </c:dPt>
          <c:dPt>
            <c:idx val="1"/>
            <c:bubble3D val="0"/>
            <c:spPr>
              <a:solidFill>
                <a:srgbClr val="6ABF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5C-4147-B1DA-87786F20415B}"/>
              </c:ext>
            </c:extLst>
          </c:dPt>
          <c:dPt>
            <c:idx val="2"/>
            <c:bubble3D val="0"/>
            <c:spPr>
              <a:solidFill>
                <a:srgbClr val="C9A3E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5C-4147-B1DA-87786F20415B}"/>
              </c:ext>
            </c:extLst>
          </c:dPt>
          <c:dPt>
            <c:idx val="3"/>
            <c:bubble3D val="0"/>
            <c:spPr>
              <a:solidFill>
                <a:srgbClr val="88D4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5C-4147-B1DA-87786F20415B}"/>
              </c:ext>
            </c:extLst>
          </c:dPt>
          <c:dPt>
            <c:idx val="4"/>
            <c:bubble3D val="0"/>
            <c:spPr>
              <a:solidFill>
                <a:srgbClr val="9B59B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5C-4147-B1DA-87786F20415B}"/>
              </c:ext>
            </c:extLst>
          </c:dPt>
          <c:dPt>
            <c:idx val="5"/>
            <c:bubble3D val="0"/>
            <c:spPr>
              <a:solidFill>
                <a:srgbClr val="A5D6A7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5C-4147-B1DA-87786F20415B}"/>
              </c:ext>
            </c:extLst>
          </c:dPt>
          <c:dPt>
            <c:idx val="6"/>
            <c:bubble3D val="0"/>
            <c:spPr>
              <a:solidFill>
                <a:srgbClr val="E8D5F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F5C-4147-B1DA-87786F20415B}"/>
              </c:ext>
            </c:extLst>
          </c:dPt>
          <c:dPt>
            <c:idx val="7"/>
            <c:bubble3D val="0"/>
            <c:spPr>
              <a:solidFill>
                <a:srgbClr val="4CAF5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F5C-4147-B1DA-87786F20415B}"/>
              </c:ext>
            </c:extLst>
          </c:dPt>
          <c:dPt>
            <c:idx val="8"/>
            <c:bubble3D val="0"/>
            <c:spPr>
              <a:solidFill>
                <a:srgbClr val="64B5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F5C-4147-B1DA-87786F20415B}"/>
              </c:ext>
            </c:extLst>
          </c:dPt>
          <c:dPt>
            <c:idx val="9"/>
            <c:bubble3D val="0"/>
            <c:spPr>
              <a:solidFill>
                <a:srgbClr val="FFB74D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F5C-4147-B1DA-87786F2041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Modal_Split!$B$7:$B$10</c:f>
              <c:strCache>
                <c:ptCount val="4"/>
                <c:pt idx="0">
                  <c:v>Aktive Mobilität</c:v>
                </c:pt>
                <c:pt idx="1">
                  <c:v>ÖV</c:v>
                </c:pt>
                <c:pt idx="2">
                  <c:v>MIV fossil</c:v>
                </c:pt>
                <c:pt idx="3">
                  <c:v>MIV elektro/hybrid</c:v>
                </c:pt>
              </c:strCache>
            </c:strRef>
          </c:cat>
          <c:val>
            <c:numRef>
              <c:f>Modal_Split!$C$7:$C$10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36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F5C-4147-B1DA-87786F20415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Geschlecht (n=50)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Demografie!$C$6</c:f>
              <c:strCache>
                <c:ptCount val="1"/>
                <c:pt idx="0">
                  <c:v>Anzahl (n)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7B4AB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F4-EF4F-BB60-2A514C1BF7CD}"/>
              </c:ext>
            </c:extLst>
          </c:dPt>
          <c:dPt>
            <c:idx val="1"/>
            <c:bubble3D val="0"/>
            <c:spPr>
              <a:solidFill>
                <a:srgbClr val="6ABF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F4-EF4F-BB60-2A514C1BF7CD}"/>
              </c:ext>
            </c:extLst>
          </c:dPt>
          <c:dPt>
            <c:idx val="2"/>
            <c:bubble3D val="0"/>
            <c:spPr>
              <a:solidFill>
                <a:srgbClr val="C9A3E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F4-EF4F-BB60-2A514C1BF7CD}"/>
              </c:ext>
            </c:extLst>
          </c:dPt>
          <c:dPt>
            <c:idx val="3"/>
            <c:bubble3D val="0"/>
            <c:spPr>
              <a:solidFill>
                <a:srgbClr val="88D4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F4-EF4F-BB60-2A514C1BF7CD}"/>
              </c:ext>
            </c:extLst>
          </c:dPt>
          <c:dPt>
            <c:idx val="4"/>
            <c:bubble3D val="0"/>
            <c:spPr>
              <a:solidFill>
                <a:srgbClr val="9B59B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6F4-EF4F-BB60-2A514C1BF7CD}"/>
              </c:ext>
            </c:extLst>
          </c:dPt>
          <c:dPt>
            <c:idx val="5"/>
            <c:bubble3D val="0"/>
            <c:spPr>
              <a:solidFill>
                <a:srgbClr val="A5D6A7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6F4-EF4F-BB60-2A514C1BF7CD}"/>
              </c:ext>
            </c:extLst>
          </c:dPt>
          <c:dPt>
            <c:idx val="6"/>
            <c:bubble3D val="0"/>
            <c:spPr>
              <a:solidFill>
                <a:srgbClr val="E8D5F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6F4-EF4F-BB60-2A514C1BF7CD}"/>
              </c:ext>
            </c:extLst>
          </c:dPt>
          <c:dPt>
            <c:idx val="7"/>
            <c:bubble3D val="0"/>
            <c:spPr>
              <a:solidFill>
                <a:srgbClr val="4CAF5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6F4-EF4F-BB60-2A514C1BF7CD}"/>
              </c:ext>
            </c:extLst>
          </c:dPt>
          <c:dPt>
            <c:idx val="8"/>
            <c:bubble3D val="0"/>
            <c:spPr>
              <a:solidFill>
                <a:srgbClr val="64B5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6F4-EF4F-BB60-2A514C1BF7CD}"/>
              </c:ext>
            </c:extLst>
          </c:dPt>
          <c:dPt>
            <c:idx val="9"/>
            <c:bubble3D val="0"/>
            <c:spPr>
              <a:solidFill>
                <a:srgbClr val="FFB74D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6F4-EF4F-BB60-2A514C1BF7C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Demografie!$B$7:$B$8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Demografie!$C$7:$C$8</c:f>
              <c:numCache>
                <c:formatCode>General</c:formatCode>
                <c:ptCount val="2"/>
                <c:pt idx="0">
                  <c:v>23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6F4-EF4F-BB60-2A514C1BF7C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Altersverteilung (n=50)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Demografie!$C$13</c:f>
              <c:strCache>
                <c:ptCount val="1"/>
                <c:pt idx="0">
                  <c:v>Anzahl (n)</c:v>
                </c:pt>
              </c:strCache>
            </c:strRef>
          </c:tx>
          <c:spPr>
            <a:solidFill>
              <a:srgbClr val="7B4ABF"/>
            </a:solidFill>
            <a:ln>
              <a:solidFill>
                <a:srgbClr val="7B4ABF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Demografie!$B$14:$B$19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64+</c:v>
                </c:pt>
              </c:strCache>
            </c:strRef>
          </c:cat>
          <c:val>
            <c:numRef>
              <c:f>Demografie!$C$14:$C$19</c:f>
              <c:numCache>
                <c:formatCode>General</c:formatCode>
                <c:ptCount val="6"/>
                <c:pt idx="0">
                  <c:v>3</c:v>
                </c:pt>
                <c:pt idx="1">
                  <c:v>10</c:v>
                </c:pt>
                <c:pt idx="2">
                  <c:v>15</c:v>
                </c:pt>
                <c:pt idx="3">
                  <c:v>12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7B4ABF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4F-934C-A155-4935A57DA35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Hindernis Zug/Bahn (n=49)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Fragen!$C$6</c:f>
              <c:strCache>
                <c:ptCount val="1"/>
                <c:pt idx="0">
                  <c:v>Anzahl (n)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7B4AB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D6-9442-A3F7-50ACE5E47CED}"/>
              </c:ext>
            </c:extLst>
          </c:dPt>
          <c:dPt>
            <c:idx val="1"/>
            <c:bubble3D val="0"/>
            <c:spPr>
              <a:solidFill>
                <a:srgbClr val="6ABF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D6-9442-A3F7-50ACE5E47CED}"/>
              </c:ext>
            </c:extLst>
          </c:dPt>
          <c:dPt>
            <c:idx val="2"/>
            <c:bubble3D val="0"/>
            <c:spPr>
              <a:solidFill>
                <a:srgbClr val="C9A3E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D6-9442-A3F7-50ACE5E47CED}"/>
              </c:ext>
            </c:extLst>
          </c:dPt>
          <c:dPt>
            <c:idx val="3"/>
            <c:bubble3D val="0"/>
            <c:spPr>
              <a:solidFill>
                <a:srgbClr val="88D4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D6-9442-A3F7-50ACE5E47CED}"/>
              </c:ext>
            </c:extLst>
          </c:dPt>
          <c:dPt>
            <c:idx val="4"/>
            <c:bubble3D val="0"/>
            <c:spPr>
              <a:solidFill>
                <a:srgbClr val="9B59B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BD6-9442-A3F7-50ACE5E47CED}"/>
              </c:ext>
            </c:extLst>
          </c:dPt>
          <c:dPt>
            <c:idx val="5"/>
            <c:bubble3D val="0"/>
            <c:spPr>
              <a:solidFill>
                <a:srgbClr val="A5D6A7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BD6-9442-A3F7-50ACE5E47CED}"/>
              </c:ext>
            </c:extLst>
          </c:dPt>
          <c:dPt>
            <c:idx val="6"/>
            <c:bubble3D val="0"/>
            <c:spPr>
              <a:solidFill>
                <a:srgbClr val="E8D5F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BD6-9442-A3F7-50ACE5E47CED}"/>
              </c:ext>
            </c:extLst>
          </c:dPt>
          <c:dPt>
            <c:idx val="7"/>
            <c:bubble3D val="0"/>
            <c:spPr>
              <a:solidFill>
                <a:srgbClr val="4CAF5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BD6-9442-A3F7-50ACE5E47CED}"/>
              </c:ext>
            </c:extLst>
          </c:dPt>
          <c:dPt>
            <c:idx val="8"/>
            <c:bubble3D val="0"/>
            <c:spPr>
              <a:solidFill>
                <a:srgbClr val="64B5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BD6-9442-A3F7-50ACE5E47CED}"/>
              </c:ext>
            </c:extLst>
          </c:dPt>
          <c:dPt>
            <c:idx val="9"/>
            <c:bubble3D val="0"/>
            <c:spPr>
              <a:solidFill>
                <a:srgbClr val="FFB74D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BD6-9442-A3F7-50ACE5E47CE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Fragen!$B$7:$B$11</c:f>
              <c:strCache>
                <c:ptCount val="5"/>
                <c:pt idx="0">
                  <c:v>🕒 Gesamtfahrzeit zu lang</c:v>
                </c:pt>
                <c:pt idx="1">
                  <c:v>🚶 Weg zur Haltestelle schwierig</c:v>
                </c:pt>
                <c:pt idx="2">
                  <c:v>🔁 Zu viele Umstiege</c:v>
                </c:pt>
                <c:pt idx="3">
                  <c:v>💶 Preis zu hoch</c:v>
                </c:pt>
                <c:pt idx="4">
                  <c:v>❓ Kein passendes Angebot</c:v>
                </c:pt>
              </c:strCache>
            </c:strRef>
          </c:cat>
          <c:val>
            <c:numRef>
              <c:f>Fragen!$C$7:$C$11</c:f>
              <c:numCache>
                <c:formatCode>General</c:formatCode>
                <c:ptCount val="5"/>
                <c:pt idx="0">
                  <c:v>17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D6-9442-A3F7-50ACE5E47CE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AT"/>
              <a:t>Motivation nachhaltige Anreise (n=31)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Fragen!$C$16</c:f>
              <c:strCache>
                <c:ptCount val="1"/>
                <c:pt idx="0">
                  <c:v>Anzahl (n)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7B4AB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08-7548-81F1-FCC1A90B4169}"/>
              </c:ext>
            </c:extLst>
          </c:dPt>
          <c:dPt>
            <c:idx val="1"/>
            <c:bubble3D val="0"/>
            <c:spPr>
              <a:solidFill>
                <a:srgbClr val="6ABF6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08-7548-81F1-FCC1A90B4169}"/>
              </c:ext>
            </c:extLst>
          </c:dPt>
          <c:dPt>
            <c:idx val="2"/>
            <c:bubble3D val="0"/>
            <c:spPr>
              <a:solidFill>
                <a:srgbClr val="C9A3E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08-7548-81F1-FCC1A90B4169}"/>
              </c:ext>
            </c:extLst>
          </c:dPt>
          <c:dPt>
            <c:idx val="3"/>
            <c:bubble3D val="0"/>
            <c:spPr>
              <a:solidFill>
                <a:srgbClr val="88D498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08-7548-81F1-FCC1A90B4169}"/>
              </c:ext>
            </c:extLst>
          </c:dPt>
          <c:dPt>
            <c:idx val="4"/>
            <c:bubble3D val="0"/>
            <c:spPr>
              <a:solidFill>
                <a:srgbClr val="9B59B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708-7548-81F1-FCC1A90B4169}"/>
              </c:ext>
            </c:extLst>
          </c:dPt>
          <c:dPt>
            <c:idx val="5"/>
            <c:bubble3D val="0"/>
            <c:spPr>
              <a:solidFill>
                <a:srgbClr val="A5D6A7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708-7548-81F1-FCC1A90B4169}"/>
              </c:ext>
            </c:extLst>
          </c:dPt>
          <c:dPt>
            <c:idx val="6"/>
            <c:bubble3D val="0"/>
            <c:spPr>
              <a:solidFill>
                <a:srgbClr val="E8D5F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708-7548-81F1-FCC1A90B4169}"/>
              </c:ext>
            </c:extLst>
          </c:dPt>
          <c:dPt>
            <c:idx val="7"/>
            <c:bubble3D val="0"/>
            <c:spPr>
              <a:solidFill>
                <a:srgbClr val="4CAF5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708-7548-81F1-FCC1A90B4169}"/>
              </c:ext>
            </c:extLst>
          </c:dPt>
          <c:dPt>
            <c:idx val="8"/>
            <c:bubble3D val="0"/>
            <c:spPr>
              <a:solidFill>
                <a:srgbClr val="64B5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708-7548-81F1-FCC1A90B4169}"/>
              </c:ext>
            </c:extLst>
          </c:dPt>
          <c:dPt>
            <c:idx val="9"/>
            <c:bubble3D val="0"/>
            <c:spPr>
              <a:solidFill>
                <a:srgbClr val="FFB74D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708-7548-81F1-FCC1A90B41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Fragen!$B$17:$B$20</c:f>
              <c:strCache>
                <c:ptCount val="4"/>
                <c:pt idx="0">
                  <c:v>🚎 Bessere Streckenanbindung</c:v>
                </c:pt>
                <c:pt idx="1">
                  <c:v>🎟 Anreizsysteme (Gutscheine etc.)</c:v>
                </c:pt>
                <c:pt idx="2">
                  <c:v>🅿 Hohe Parkgebühren vor Ort</c:v>
                </c:pt>
                <c:pt idx="3">
                  <c:v>🧭 Bessere Planungstools</c:v>
                </c:pt>
              </c:strCache>
            </c:strRef>
          </c:cat>
          <c:val>
            <c:numRef>
              <c:f>Fragen!$C$17:$C$20</c:f>
              <c:numCache>
                <c:formatCode>General</c:formatCode>
                <c:ptCount val="4"/>
                <c:pt idx="0">
                  <c:v>23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08-7548-81F1-FCC1A90B416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19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203200</xdr:colOff>
      <xdr:row>4</xdr:row>
      <xdr:rowOff>12700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215900</xdr:colOff>
      <xdr:row>15</xdr:row>
      <xdr:rowOff>76200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showGridLines="0" workbookViewId="0">
      <selection activeCell="D16" sqref="D16"/>
    </sheetView>
  </sheetViews>
  <sheetFormatPr baseColWidth="10" defaultColWidth="8.83203125" defaultRowHeight="15" x14ac:dyDescent="0.2"/>
  <cols>
    <col min="1" max="1" width="3" customWidth="1"/>
    <col min="2" max="2" width="30" customWidth="1"/>
    <col min="3" max="4" width="20" customWidth="1"/>
    <col min="5" max="6" width="18" customWidth="1"/>
  </cols>
  <sheetData>
    <row r="1" spans="2:7" ht="30" customHeight="1" x14ac:dyDescent="0.2">
      <c r="B1" s="35" t="s">
        <v>0</v>
      </c>
      <c r="C1" s="36"/>
      <c r="D1" s="36"/>
      <c r="E1" s="36"/>
      <c r="F1" s="36"/>
    </row>
    <row r="2" spans="2:7" ht="8" customHeight="1" x14ac:dyDescent="0.2"/>
    <row r="3" spans="2:7" ht="20" customHeight="1" x14ac:dyDescent="0.2">
      <c r="B3" s="1" t="s">
        <v>1</v>
      </c>
    </row>
    <row r="4" spans="2:7" ht="28" x14ac:dyDescent="0.2">
      <c r="B4" s="2" t="s">
        <v>2</v>
      </c>
      <c r="C4" s="3" t="s">
        <v>3</v>
      </c>
    </row>
    <row r="5" spans="2:7" ht="18" customHeight="1" x14ac:dyDescent="0.2">
      <c r="B5" s="4" t="s">
        <v>4</v>
      </c>
      <c r="C5" s="5" t="s">
        <v>5</v>
      </c>
    </row>
    <row r="6" spans="2:7" ht="18" customHeight="1" x14ac:dyDescent="0.2">
      <c r="B6" s="2" t="s">
        <v>6</v>
      </c>
      <c r="C6" s="3" t="s">
        <v>7</v>
      </c>
    </row>
    <row r="7" spans="2:7" ht="18" customHeight="1" x14ac:dyDescent="0.2">
      <c r="B7" s="4" t="s">
        <v>8</v>
      </c>
      <c r="C7" s="5" t="s">
        <v>9</v>
      </c>
    </row>
    <row r="9" spans="2:7" ht="20" customHeight="1" x14ac:dyDescent="0.2">
      <c r="B9" s="1" t="s">
        <v>10</v>
      </c>
    </row>
    <row r="10" spans="2:7" ht="26" customHeight="1" x14ac:dyDescent="0.2">
      <c r="B10" s="6" t="s">
        <v>11</v>
      </c>
      <c r="C10" s="7">
        <f>COUNTA(Daten_Anreise!$B$2:$B$200)</f>
        <v>72</v>
      </c>
      <c r="D10" s="6" t="s">
        <v>12</v>
      </c>
      <c r="E10" s="8">
        <v>0</v>
      </c>
      <c r="F10" s="6" t="s">
        <v>13</v>
      </c>
      <c r="G10" s="9">
        <f>IFERROR(E10/C10,"—")</f>
        <v>0</v>
      </c>
    </row>
    <row r="12" spans="2:7" ht="20" customHeight="1" x14ac:dyDescent="0.2">
      <c r="B12" s="1" t="s">
        <v>14</v>
      </c>
    </row>
    <row r="13" spans="2:7" ht="18" customHeight="1" x14ac:dyDescent="0.2">
      <c r="B13" s="2" t="s">
        <v>15</v>
      </c>
      <c r="C13" s="10">
        <f>SUMPRODUCT((Daten_Anreise!$P$2:$P$200))/1000</f>
        <v>302.23599999999999</v>
      </c>
    </row>
    <row r="14" spans="2:7" ht="18" customHeight="1" x14ac:dyDescent="0.2">
      <c r="B14" s="4" t="s">
        <v>16</v>
      </c>
      <c r="C14" s="11">
        <f>IFERROR(SUMPRODUCT((Daten_Anreise!$P$2:$P$200)/1000)/COUNTA(Daten_Anreise!$B$2:$B$200),0)</f>
        <v>4.1977222222222226</v>
      </c>
    </row>
    <row r="15" spans="2:7" ht="18" customHeight="1" x14ac:dyDescent="0.2">
      <c r="B15" s="2" t="s">
        <v>17</v>
      </c>
      <c r="C15" s="12">
        <f>IFERROR(AVERAGE(Daten_Anreise!$M$2:$M$200),0)</f>
        <v>45.049416666666652</v>
      </c>
    </row>
    <row r="16" spans="2:7" ht="18" customHeight="1" x14ac:dyDescent="0.2">
      <c r="B16" s="4" t="s">
        <v>18</v>
      </c>
      <c r="C16" s="11" t="s">
        <v>19</v>
      </c>
    </row>
    <row r="18" spans="2:6" ht="30" x14ac:dyDescent="0.2">
      <c r="B18" s="1" t="s">
        <v>20</v>
      </c>
    </row>
    <row r="19" spans="2:6" ht="18" customHeight="1" x14ac:dyDescent="0.2">
      <c r="B19" s="13" t="s">
        <v>21</v>
      </c>
      <c r="C19" s="13" t="s">
        <v>22</v>
      </c>
      <c r="D19" s="13" t="s">
        <v>23</v>
      </c>
    </row>
    <row r="20" spans="2:6" ht="18" customHeight="1" x14ac:dyDescent="0.2">
      <c r="B20" s="14" t="s">
        <v>24</v>
      </c>
      <c r="C20" s="15">
        <f>COUNTA(Daten_Anreise!$B$2:$B$200)</f>
        <v>72</v>
      </c>
      <c r="D20" s="3" t="s">
        <v>25</v>
      </c>
    </row>
    <row r="21" spans="2:6" ht="18" customHeight="1" x14ac:dyDescent="0.2">
      <c r="B21" s="16" t="s">
        <v>26</v>
      </c>
      <c r="C21" s="17">
        <f>COUNTA(Daten_Anreise!$R$2:$R$200)</f>
        <v>50</v>
      </c>
      <c r="D21" s="18" t="s">
        <v>27</v>
      </c>
    </row>
    <row r="22" spans="2:6" ht="18" customHeight="1" x14ac:dyDescent="0.2">
      <c r="B22" s="16" t="s">
        <v>28</v>
      </c>
      <c r="C22" s="17" t="s">
        <v>29</v>
      </c>
      <c r="D22" s="18" t="s">
        <v>30</v>
      </c>
    </row>
    <row r="23" spans="2:6" ht="18" customHeight="1" x14ac:dyDescent="0.2">
      <c r="B23" s="19" t="s">
        <v>31</v>
      </c>
      <c r="C23" s="20" t="s">
        <v>32</v>
      </c>
      <c r="D23" s="21" t="s">
        <v>33</v>
      </c>
    </row>
    <row r="25" spans="2:6" ht="40" customHeight="1" x14ac:dyDescent="0.2">
      <c r="B25" s="32" t="s">
        <v>34</v>
      </c>
      <c r="C25" s="33"/>
      <c r="D25" s="33"/>
      <c r="E25" s="33"/>
      <c r="F25" s="33"/>
    </row>
    <row r="27" spans="2:6" ht="36" customHeight="1" x14ac:dyDescent="0.2">
      <c r="B27" s="34" t="s">
        <v>35</v>
      </c>
      <c r="C27" s="33"/>
      <c r="D27" s="33"/>
      <c r="E27" s="33"/>
      <c r="F27" s="33"/>
    </row>
  </sheetData>
  <mergeCells count="3">
    <mergeCell ref="B25:F25"/>
    <mergeCell ref="B27:F27"/>
    <mergeCell ref="B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3"/>
  <sheetViews>
    <sheetView workbookViewId="0"/>
  </sheetViews>
  <sheetFormatPr baseColWidth="10" defaultColWidth="8.83203125" defaultRowHeight="15" x14ac:dyDescent="0.2"/>
  <cols>
    <col min="1" max="1" width="5" customWidth="1"/>
    <col min="2" max="2" width="36" customWidth="1"/>
    <col min="3" max="4" width="11" customWidth="1"/>
    <col min="5" max="6" width="16" customWidth="1"/>
    <col min="7" max="7" width="18" customWidth="1"/>
    <col min="8" max="8" width="16" customWidth="1"/>
    <col min="9" max="9" width="8" customWidth="1"/>
    <col min="10" max="10" width="12" customWidth="1"/>
    <col min="11" max="11" width="16" customWidth="1"/>
    <col min="12" max="13" width="11" customWidth="1"/>
    <col min="14" max="15" width="13" customWidth="1"/>
    <col min="16" max="17" width="10" customWidth="1"/>
    <col min="18" max="19" width="12" customWidth="1"/>
    <col min="20" max="21" width="28" customWidth="1"/>
  </cols>
  <sheetData>
    <row r="1" spans="1:21" ht="28" x14ac:dyDescent="0.2">
      <c r="A1" s="22" t="s">
        <v>36</v>
      </c>
      <c r="B1" s="22" t="s">
        <v>37</v>
      </c>
      <c r="C1" s="22" t="s">
        <v>4</v>
      </c>
      <c r="D1" s="22" t="s">
        <v>38</v>
      </c>
      <c r="E1" s="22" t="s">
        <v>39</v>
      </c>
      <c r="F1" s="22" t="s">
        <v>40</v>
      </c>
      <c r="G1" s="22" t="s">
        <v>41</v>
      </c>
      <c r="H1" s="22" t="s">
        <v>42</v>
      </c>
      <c r="I1" s="22" t="s">
        <v>43</v>
      </c>
      <c r="J1" s="22" t="s">
        <v>44</v>
      </c>
      <c r="K1" s="22" t="s">
        <v>45</v>
      </c>
      <c r="L1" s="22" t="s">
        <v>46</v>
      </c>
      <c r="M1" s="22" t="s">
        <v>47</v>
      </c>
      <c r="N1" s="22" t="s">
        <v>48</v>
      </c>
      <c r="O1" s="22" t="s">
        <v>49</v>
      </c>
      <c r="P1" s="22" t="s">
        <v>50</v>
      </c>
      <c r="Q1" s="22" t="s">
        <v>51</v>
      </c>
      <c r="R1" s="22" t="s">
        <v>52</v>
      </c>
      <c r="S1" s="22" t="s">
        <v>53</v>
      </c>
      <c r="T1" s="22" t="s">
        <v>54</v>
      </c>
      <c r="U1" s="22" t="s">
        <v>55</v>
      </c>
    </row>
    <row r="2" spans="1:21" ht="26" x14ac:dyDescent="0.2">
      <c r="A2" s="23">
        <v>1</v>
      </c>
      <c r="B2" s="23" t="s">
        <v>56</v>
      </c>
      <c r="C2" s="23" t="s">
        <v>57</v>
      </c>
      <c r="D2" s="23" t="s">
        <v>58</v>
      </c>
      <c r="E2" s="23" t="s">
        <v>59</v>
      </c>
      <c r="F2" s="23" t="s">
        <v>60</v>
      </c>
      <c r="G2" s="23" t="s">
        <v>61</v>
      </c>
      <c r="H2" s="23" t="s">
        <v>62</v>
      </c>
      <c r="I2" s="23" t="s">
        <v>63</v>
      </c>
      <c r="J2" s="23" t="s">
        <v>64</v>
      </c>
      <c r="K2" s="23" t="s">
        <v>65</v>
      </c>
      <c r="L2" s="23">
        <v>24374</v>
      </c>
      <c r="M2" s="23">
        <v>24.373999999999999</v>
      </c>
      <c r="N2" s="23" t="s">
        <v>66</v>
      </c>
      <c r="O2" s="23">
        <v>27</v>
      </c>
      <c r="P2" s="23">
        <v>2830</v>
      </c>
      <c r="Q2" s="23">
        <v>2.83</v>
      </c>
      <c r="R2" s="23" t="s">
        <v>67</v>
      </c>
      <c r="S2" s="23" t="s">
        <v>68</v>
      </c>
      <c r="T2" s="23" t="s">
        <v>69</v>
      </c>
      <c r="U2" s="23" t="s">
        <v>70</v>
      </c>
    </row>
    <row r="3" spans="1:21" ht="26" x14ac:dyDescent="0.2">
      <c r="A3" s="24">
        <v>2</v>
      </c>
      <c r="B3" s="24" t="s">
        <v>71</v>
      </c>
      <c r="C3" s="24" t="s">
        <v>57</v>
      </c>
      <c r="D3" s="24" t="s">
        <v>58</v>
      </c>
      <c r="E3" s="24" t="s">
        <v>72</v>
      </c>
      <c r="F3" s="24" t="s">
        <v>73</v>
      </c>
      <c r="G3" s="24" t="s">
        <v>61</v>
      </c>
      <c r="H3" s="24" t="s">
        <v>62</v>
      </c>
      <c r="I3" s="24" t="s">
        <v>63</v>
      </c>
      <c r="J3" s="24" t="s">
        <v>64</v>
      </c>
      <c r="K3" s="24" t="s">
        <v>65</v>
      </c>
      <c r="L3" s="24">
        <v>18699</v>
      </c>
      <c r="M3" s="24">
        <v>18.699000000000002</v>
      </c>
      <c r="N3" s="24" t="s">
        <v>74</v>
      </c>
      <c r="O3" s="24">
        <v>21</v>
      </c>
      <c r="P3" s="24">
        <v>3409</v>
      </c>
      <c r="Q3" s="24">
        <v>3.4089999999999998</v>
      </c>
      <c r="R3" s="24" t="s">
        <v>75</v>
      </c>
      <c r="S3" s="24" t="s">
        <v>76</v>
      </c>
      <c r="T3" s="24" t="s">
        <v>77</v>
      </c>
      <c r="U3" s="24" t="s">
        <v>70</v>
      </c>
    </row>
    <row r="4" spans="1:21" ht="26" x14ac:dyDescent="0.2">
      <c r="A4" s="23">
        <v>3</v>
      </c>
      <c r="B4" s="23" t="s">
        <v>78</v>
      </c>
      <c r="C4" s="23" t="s">
        <v>57</v>
      </c>
      <c r="D4" s="23" t="s">
        <v>58</v>
      </c>
      <c r="E4" s="23" t="s">
        <v>79</v>
      </c>
      <c r="F4" s="23" t="s">
        <v>80</v>
      </c>
      <c r="G4" s="23" t="s">
        <v>81</v>
      </c>
      <c r="H4" s="23" t="s">
        <v>82</v>
      </c>
      <c r="I4" s="23" t="s">
        <v>83</v>
      </c>
      <c r="J4" s="23" t="s">
        <v>64</v>
      </c>
      <c r="K4" s="23" t="s">
        <v>65</v>
      </c>
      <c r="L4" s="23">
        <v>14180</v>
      </c>
      <c r="M4" s="23">
        <v>14.18</v>
      </c>
      <c r="N4" s="23" t="s">
        <v>74</v>
      </c>
      <c r="O4" s="23">
        <v>194</v>
      </c>
      <c r="P4" s="23">
        <v>0</v>
      </c>
      <c r="Q4" s="23">
        <v>0</v>
      </c>
      <c r="R4" s="23" t="s">
        <v>67</v>
      </c>
      <c r="S4" s="23" t="s">
        <v>76</v>
      </c>
      <c r="T4" s="23" t="s">
        <v>84</v>
      </c>
      <c r="U4" s="23" t="s">
        <v>85</v>
      </c>
    </row>
    <row r="5" spans="1:21" ht="26" x14ac:dyDescent="0.2">
      <c r="A5" s="24">
        <v>4</v>
      </c>
      <c r="B5" s="24" t="s">
        <v>86</v>
      </c>
      <c r="C5" s="24" t="s">
        <v>57</v>
      </c>
      <c r="D5" s="24" t="s">
        <v>58</v>
      </c>
      <c r="E5" s="24" t="s">
        <v>87</v>
      </c>
      <c r="F5" s="24" t="s">
        <v>88</v>
      </c>
      <c r="G5" s="24" t="s">
        <v>89</v>
      </c>
      <c r="H5" s="24" t="s">
        <v>82</v>
      </c>
      <c r="I5" s="24" t="s">
        <v>83</v>
      </c>
      <c r="J5" s="24" t="s">
        <v>64</v>
      </c>
      <c r="K5" s="24" t="s">
        <v>65</v>
      </c>
      <c r="L5" s="24">
        <v>17359</v>
      </c>
      <c r="M5" s="24">
        <v>17.359000000000002</v>
      </c>
      <c r="N5" s="24" t="s">
        <v>74</v>
      </c>
      <c r="O5" s="24">
        <v>21</v>
      </c>
      <c r="P5" s="24">
        <v>4317</v>
      </c>
      <c r="Q5" s="24">
        <v>4.3170000000000002</v>
      </c>
      <c r="R5" s="24" t="s">
        <v>67</v>
      </c>
      <c r="S5" s="24" t="s">
        <v>90</v>
      </c>
      <c r="T5" s="24" t="s">
        <v>84</v>
      </c>
      <c r="U5" s="24" t="s">
        <v>84</v>
      </c>
    </row>
    <row r="6" spans="1:21" ht="26" x14ac:dyDescent="0.2">
      <c r="A6" s="23">
        <v>5</v>
      </c>
      <c r="B6" s="23" t="s">
        <v>91</v>
      </c>
      <c r="C6" s="23" t="s">
        <v>57</v>
      </c>
      <c r="D6" s="23" t="s">
        <v>58</v>
      </c>
      <c r="E6" s="23" t="s">
        <v>87</v>
      </c>
      <c r="F6" s="23" t="s">
        <v>88</v>
      </c>
      <c r="G6" s="23" t="s">
        <v>89</v>
      </c>
      <c r="H6" s="23" t="s">
        <v>82</v>
      </c>
      <c r="I6" s="23" t="s">
        <v>83</v>
      </c>
      <c r="J6" s="23" t="s">
        <v>64</v>
      </c>
      <c r="K6" s="23" t="s">
        <v>65</v>
      </c>
      <c r="L6" s="23">
        <v>13755</v>
      </c>
      <c r="M6" s="23">
        <v>13.755000000000001</v>
      </c>
      <c r="N6" s="23" t="s">
        <v>74</v>
      </c>
      <c r="O6" s="23">
        <v>15</v>
      </c>
      <c r="P6" s="23">
        <v>3421</v>
      </c>
      <c r="Q6" s="23">
        <v>3.4209999999999998</v>
      </c>
      <c r="R6" s="23" t="s">
        <v>67</v>
      </c>
      <c r="S6" s="23" t="s">
        <v>90</v>
      </c>
      <c r="T6" s="23" t="s">
        <v>69</v>
      </c>
      <c r="U6" s="23" t="s">
        <v>70</v>
      </c>
    </row>
    <row r="7" spans="1:21" ht="26" x14ac:dyDescent="0.2">
      <c r="A7" s="24">
        <v>6</v>
      </c>
      <c r="B7" s="24" t="s">
        <v>92</v>
      </c>
      <c r="C7" s="24" t="s">
        <v>57</v>
      </c>
      <c r="D7" s="24" t="s">
        <v>58</v>
      </c>
      <c r="E7" s="24" t="s">
        <v>79</v>
      </c>
      <c r="F7" s="24" t="s">
        <v>80</v>
      </c>
      <c r="G7" s="24" t="s">
        <v>81</v>
      </c>
      <c r="H7" s="24" t="s">
        <v>82</v>
      </c>
      <c r="I7" s="24" t="s">
        <v>83</v>
      </c>
      <c r="J7" s="24" t="s">
        <v>64</v>
      </c>
      <c r="K7" s="24" t="s">
        <v>65</v>
      </c>
      <c r="L7" s="24">
        <v>14180</v>
      </c>
      <c r="M7" s="24">
        <v>14.18</v>
      </c>
      <c r="N7" s="24" t="s">
        <v>74</v>
      </c>
      <c r="O7" s="24">
        <v>194</v>
      </c>
      <c r="P7" s="24">
        <v>0</v>
      </c>
      <c r="Q7" s="24">
        <v>0</v>
      </c>
      <c r="R7" s="24" t="s">
        <v>75</v>
      </c>
      <c r="S7" s="24" t="s">
        <v>90</v>
      </c>
      <c r="T7" s="24" t="s">
        <v>84</v>
      </c>
      <c r="U7" s="24" t="s">
        <v>70</v>
      </c>
    </row>
    <row r="8" spans="1:21" ht="26" x14ac:dyDescent="0.2">
      <c r="A8" s="23">
        <v>7</v>
      </c>
      <c r="B8" s="23" t="s">
        <v>93</v>
      </c>
      <c r="C8" s="23" t="s">
        <v>57</v>
      </c>
      <c r="D8" s="23" t="s">
        <v>58</v>
      </c>
      <c r="E8" s="23" t="s">
        <v>79</v>
      </c>
      <c r="F8" s="23" t="s">
        <v>80</v>
      </c>
      <c r="G8" s="23" t="s">
        <v>81</v>
      </c>
      <c r="H8" s="23" t="s">
        <v>82</v>
      </c>
      <c r="I8" s="23" t="s">
        <v>83</v>
      </c>
      <c r="J8" s="23" t="s">
        <v>64</v>
      </c>
      <c r="K8" s="23" t="s">
        <v>65</v>
      </c>
      <c r="L8" s="23">
        <v>14180</v>
      </c>
      <c r="M8" s="23">
        <v>14.18</v>
      </c>
      <c r="N8" s="23" t="s">
        <v>74</v>
      </c>
      <c r="O8" s="23">
        <v>194</v>
      </c>
      <c r="P8" s="23">
        <v>0</v>
      </c>
      <c r="Q8" s="23">
        <v>0</v>
      </c>
      <c r="R8" s="23" t="s">
        <v>67</v>
      </c>
      <c r="S8" s="23" t="s">
        <v>90</v>
      </c>
      <c r="T8" s="23" t="s">
        <v>84</v>
      </c>
      <c r="U8" s="23" t="s">
        <v>70</v>
      </c>
    </row>
    <row r="9" spans="1:21" ht="26" x14ac:dyDescent="0.2">
      <c r="A9" s="24">
        <v>8</v>
      </c>
      <c r="B9" s="24" t="s">
        <v>94</v>
      </c>
      <c r="C9" s="24" t="s">
        <v>57</v>
      </c>
      <c r="D9" s="24" t="s">
        <v>58</v>
      </c>
      <c r="E9" s="24" t="s">
        <v>95</v>
      </c>
      <c r="F9" s="24" t="s">
        <v>96</v>
      </c>
      <c r="G9" s="24" t="s">
        <v>89</v>
      </c>
      <c r="H9" s="24" t="s">
        <v>82</v>
      </c>
      <c r="I9" s="24" t="s">
        <v>83</v>
      </c>
      <c r="J9" s="24" t="s">
        <v>64</v>
      </c>
      <c r="K9" s="24" t="s">
        <v>65</v>
      </c>
      <c r="L9" s="24">
        <v>13755</v>
      </c>
      <c r="M9" s="24">
        <v>13.755000000000001</v>
      </c>
      <c r="N9" s="24" t="s">
        <v>74</v>
      </c>
      <c r="O9" s="24">
        <v>15</v>
      </c>
      <c r="P9" s="24">
        <v>3547</v>
      </c>
      <c r="Q9" s="24">
        <v>3.5470000000000002</v>
      </c>
      <c r="R9" s="24" t="s">
        <v>67</v>
      </c>
      <c r="S9" s="24" t="s">
        <v>97</v>
      </c>
      <c r="T9" s="24" t="s">
        <v>69</v>
      </c>
      <c r="U9" s="24" t="s">
        <v>70</v>
      </c>
    </row>
    <row r="10" spans="1:21" ht="26" x14ac:dyDescent="0.2">
      <c r="A10" s="23">
        <v>9</v>
      </c>
      <c r="B10" s="23" t="s">
        <v>98</v>
      </c>
      <c r="C10" s="23" t="s">
        <v>57</v>
      </c>
      <c r="D10" s="23" t="s">
        <v>58</v>
      </c>
      <c r="E10" s="23" t="s">
        <v>87</v>
      </c>
      <c r="F10" s="23" t="s">
        <v>88</v>
      </c>
      <c r="G10" s="23" t="s">
        <v>89</v>
      </c>
      <c r="H10" s="23" t="s">
        <v>82</v>
      </c>
      <c r="I10" s="23" t="s">
        <v>83</v>
      </c>
      <c r="J10" s="23" t="s">
        <v>64</v>
      </c>
      <c r="K10" s="23" t="s">
        <v>65</v>
      </c>
      <c r="L10" s="23">
        <v>13755</v>
      </c>
      <c r="M10" s="23">
        <v>13.755000000000001</v>
      </c>
      <c r="N10" s="23" t="s">
        <v>74</v>
      </c>
      <c r="O10" s="23">
        <v>15</v>
      </c>
      <c r="P10" s="23">
        <v>3421</v>
      </c>
      <c r="Q10" s="23">
        <v>3.4209999999999998</v>
      </c>
      <c r="R10" s="23" t="s">
        <v>75</v>
      </c>
      <c r="S10" s="23" t="s">
        <v>90</v>
      </c>
      <c r="T10" s="23" t="s">
        <v>69</v>
      </c>
      <c r="U10" s="23" t="s">
        <v>70</v>
      </c>
    </row>
    <row r="11" spans="1:21" x14ac:dyDescent="0.2">
      <c r="A11" s="24">
        <v>10</v>
      </c>
      <c r="B11" s="24" t="s">
        <v>99</v>
      </c>
      <c r="C11" s="24" t="s">
        <v>57</v>
      </c>
      <c r="D11" s="24" t="s">
        <v>58</v>
      </c>
      <c r="E11" s="24" t="s">
        <v>87</v>
      </c>
      <c r="F11" s="24" t="s">
        <v>88</v>
      </c>
      <c r="G11" s="24" t="s">
        <v>89</v>
      </c>
      <c r="H11" s="24" t="s">
        <v>100</v>
      </c>
      <c r="I11" s="24" t="s">
        <v>84</v>
      </c>
      <c r="J11" s="24" t="s">
        <v>64</v>
      </c>
      <c r="K11" s="24" t="s">
        <v>64</v>
      </c>
      <c r="L11" s="24">
        <v>27922</v>
      </c>
      <c r="M11" s="24">
        <v>27.922000000000001</v>
      </c>
      <c r="N11" s="24" t="s">
        <v>66</v>
      </c>
      <c r="O11" s="24">
        <v>29</v>
      </c>
      <c r="P11" s="24">
        <v>6944</v>
      </c>
      <c r="Q11" s="24">
        <v>6.944</v>
      </c>
      <c r="R11" s="24" t="s">
        <v>67</v>
      </c>
      <c r="S11" s="24" t="s">
        <v>101</v>
      </c>
      <c r="T11" s="24" t="s">
        <v>77</v>
      </c>
      <c r="U11" s="24" t="s">
        <v>84</v>
      </c>
    </row>
    <row r="12" spans="1:21" x14ac:dyDescent="0.2">
      <c r="A12" s="23">
        <v>11</v>
      </c>
      <c r="B12" s="23" t="s">
        <v>102</v>
      </c>
      <c r="C12" s="23" t="s">
        <v>57</v>
      </c>
      <c r="D12" s="23" t="s">
        <v>58</v>
      </c>
      <c r="E12" s="23" t="s">
        <v>103</v>
      </c>
      <c r="F12" s="23" t="s">
        <v>104</v>
      </c>
      <c r="G12" s="23" t="s">
        <v>105</v>
      </c>
      <c r="H12" s="23" t="s">
        <v>106</v>
      </c>
      <c r="I12" s="23" t="s">
        <v>84</v>
      </c>
      <c r="J12" s="23" t="s">
        <v>64</v>
      </c>
      <c r="K12" s="23" t="s">
        <v>64</v>
      </c>
      <c r="L12" s="23">
        <v>432378</v>
      </c>
      <c r="M12" s="23">
        <v>432.37799999999999</v>
      </c>
      <c r="N12" s="23" t="s">
        <v>107</v>
      </c>
      <c r="O12" s="23">
        <v>336</v>
      </c>
      <c r="P12" s="23">
        <v>4799</v>
      </c>
      <c r="Q12" s="23">
        <v>4.7990000000000004</v>
      </c>
      <c r="R12" s="23" t="s">
        <v>67</v>
      </c>
      <c r="S12" s="23" t="s">
        <v>97</v>
      </c>
      <c r="T12" s="23" t="s">
        <v>84</v>
      </c>
      <c r="U12" s="23" t="s">
        <v>84</v>
      </c>
    </row>
    <row r="13" spans="1:21" ht="26" x14ac:dyDescent="0.2">
      <c r="A13" s="24">
        <v>12</v>
      </c>
      <c r="B13" s="24" t="s">
        <v>108</v>
      </c>
      <c r="C13" s="24" t="s">
        <v>57</v>
      </c>
      <c r="D13" s="24" t="s">
        <v>58</v>
      </c>
      <c r="E13" s="24" t="s">
        <v>109</v>
      </c>
      <c r="F13" s="24" t="s">
        <v>110</v>
      </c>
      <c r="G13" s="24" t="s">
        <v>105</v>
      </c>
      <c r="H13" s="24" t="s">
        <v>111</v>
      </c>
      <c r="I13" s="24" t="s">
        <v>112</v>
      </c>
      <c r="J13" s="24" t="s">
        <v>64</v>
      </c>
      <c r="K13" s="24" t="s">
        <v>65</v>
      </c>
      <c r="L13" s="24">
        <v>10910</v>
      </c>
      <c r="M13" s="24">
        <v>10.91</v>
      </c>
      <c r="N13" s="24" t="s">
        <v>74</v>
      </c>
      <c r="O13" s="24">
        <v>24</v>
      </c>
      <c r="P13" s="24">
        <v>602</v>
      </c>
      <c r="Q13" s="24">
        <v>0.60199999999999998</v>
      </c>
      <c r="R13" s="24" t="s">
        <v>67</v>
      </c>
      <c r="S13" s="24" t="s">
        <v>97</v>
      </c>
      <c r="T13" s="24" t="s">
        <v>84</v>
      </c>
      <c r="U13" s="24" t="s">
        <v>70</v>
      </c>
    </row>
    <row r="14" spans="1:21" x14ac:dyDescent="0.2">
      <c r="A14" s="23">
        <v>13</v>
      </c>
      <c r="B14" s="23" t="s">
        <v>113</v>
      </c>
      <c r="C14" s="23" t="s">
        <v>57</v>
      </c>
      <c r="D14" s="23" t="s">
        <v>58</v>
      </c>
      <c r="E14" s="23" t="s">
        <v>87</v>
      </c>
      <c r="F14" s="23" t="s">
        <v>88</v>
      </c>
      <c r="G14" s="23" t="s">
        <v>89</v>
      </c>
      <c r="H14" s="23" t="s">
        <v>114</v>
      </c>
      <c r="I14" s="23" t="s">
        <v>84</v>
      </c>
      <c r="J14" s="23" t="s">
        <v>64</v>
      </c>
      <c r="K14" s="23" t="s">
        <v>64</v>
      </c>
      <c r="L14" s="23">
        <v>18236</v>
      </c>
      <c r="M14" s="23">
        <v>18.236000000000001</v>
      </c>
      <c r="N14" s="23" t="s">
        <v>74</v>
      </c>
      <c r="O14" s="23">
        <v>22</v>
      </c>
      <c r="P14" s="23">
        <v>4535</v>
      </c>
      <c r="Q14" s="23">
        <v>4.5350000000000001</v>
      </c>
      <c r="R14" s="23" t="s">
        <v>75</v>
      </c>
      <c r="S14" s="23" t="s">
        <v>115</v>
      </c>
      <c r="T14" s="23" t="s">
        <v>77</v>
      </c>
      <c r="U14" s="23" t="s">
        <v>84</v>
      </c>
    </row>
    <row r="15" spans="1:21" ht="26" x14ac:dyDescent="0.2">
      <c r="A15" s="24">
        <v>14</v>
      </c>
      <c r="B15" s="24" t="s">
        <v>116</v>
      </c>
      <c r="C15" s="24" t="s">
        <v>57</v>
      </c>
      <c r="D15" s="24" t="s">
        <v>58</v>
      </c>
      <c r="E15" s="24" t="s">
        <v>59</v>
      </c>
      <c r="F15" s="24" t="s">
        <v>60</v>
      </c>
      <c r="G15" s="24" t="s">
        <v>61</v>
      </c>
      <c r="H15" s="24" t="s">
        <v>117</v>
      </c>
      <c r="I15" s="24" t="s">
        <v>118</v>
      </c>
      <c r="J15" s="24" t="s">
        <v>64</v>
      </c>
      <c r="K15" s="24" t="s">
        <v>65</v>
      </c>
      <c r="L15" s="24">
        <v>185</v>
      </c>
      <c r="M15" s="24">
        <v>0.185</v>
      </c>
      <c r="N15" s="24" t="s">
        <v>119</v>
      </c>
      <c r="O15" s="24">
        <v>1</v>
      </c>
      <c r="P15" s="24">
        <v>21</v>
      </c>
      <c r="Q15" s="24">
        <v>2.1000000000000001E-2</v>
      </c>
      <c r="R15" s="24" t="s">
        <v>75</v>
      </c>
      <c r="S15" s="24" t="s">
        <v>101</v>
      </c>
      <c r="T15" s="24" t="s">
        <v>69</v>
      </c>
      <c r="U15" s="24" t="s">
        <v>70</v>
      </c>
    </row>
    <row r="16" spans="1:21" ht="26" x14ac:dyDescent="0.2">
      <c r="A16" s="23">
        <v>15</v>
      </c>
      <c r="B16" s="23" t="s">
        <v>120</v>
      </c>
      <c r="C16" s="23" t="s">
        <v>57</v>
      </c>
      <c r="D16" s="23" t="s">
        <v>58</v>
      </c>
      <c r="E16" s="23" t="s">
        <v>79</v>
      </c>
      <c r="F16" s="23" t="s">
        <v>80</v>
      </c>
      <c r="G16" s="23" t="s">
        <v>81</v>
      </c>
      <c r="H16" s="23" t="s">
        <v>82</v>
      </c>
      <c r="I16" s="23" t="s">
        <v>83</v>
      </c>
      <c r="J16" s="23" t="s">
        <v>64</v>
      </c>
      <c r="K16" s="23" t="s">
        <v>65</v>
      </c>
      <c r="L16" s="23">
        <v>14268</v>
      </c>
      <c r="M16" s="23">
        <v>14.268000000000001</v>
      </c>
      <c r="N16" s="23" t="s">
        <v>74</v>
      </c>
      <c r="O16" s="23">
        <v>196</v>
      </c>
      <c r="P16" s="23">
        <v>0</v>
      </c>
      <c r="Q16" s="23">
        <v>0</v>
      </c>
      <c r="R16" s="23" t="s">
        <v>67</v>
      </c>
      <c r="S16" s="23" t="s">
        <v>97</v>
      </c>
      <c r="T16" s="23" t="s">
        <v>84</v>
      </c>
      <c r="U16" s="23" t="s">
        <v>70</v>
      </c>
    </row>
    <row r="17" spans="1:21" ht="26" x14ac:dyDescent="0.2">
      <c r="A17" s="24">
        <v>16</v>
      </c>
      <c r="B17" s="24" t="s">
        <v>121</v>
      </c>
      <c r="C17" s="24" t="s">
        <v>57</v>
      </c>
      <c r="D17" s="24" t="s">
        <v>58</v>
      </c>
      <c r="E17" s="24" t="s">
        <v>95</v>
      </c>
      <c r="F17" s="24" t="s">
        <v>96</v>
      </c>
      <c r="G17" s="24" t="s">
        <v>89</v>
      </c>
      <c r="H17" s="24" t="s">
        <v>117</v>
      </c>
      <c r="I17" s="24" t="s">
        <v>118</v>
      </c>
      <c r="J17" s="24" t="s">
        <v>64</v>
      </c>
      <c r="K17" s="24" t="s">
        <v>65</v>
      </c>
      <c r="L17" s="24">
        <v>185</v>
      </c>
      <c r="M17" s="24">
        <v>0.185</v>
      </c>
      <c r="N17" s="24" t="s">
        <v>119</v>
      </c>
      <c r="O17" s="24">
        <v>1</v>
      </c>
      <c r="P17" s="24">
        <v>48</v>
      </c>
      <c r="Q17" s="24">
        <v>4.8000000000000001E-2</v>
      </c>
      <c r="R17" s="24" t="s">
        <v>67</v>
      </c>
      <c r="S17" s="24" t="s">
        <v>90</v>
      </c>
      <c r="T17" s="24" t="s">
        <v>77</v>
      </c>
      <c r="U17" s="24" t="s">
        <v>70</v>
      </c>
    </row>
    <row r="18" spans="1:21" ht="26" x14ac:dyDescent="0.2">
      <c r="A18" s="23">
        <v>17</v>
      </c>
      <c r="B18" s="23" t="s">
        <v>122</v>
      </c>
      <c r="C18" s="23" t="s">
        <v>57</v>
      </c>
      <c r="D18" s="23" t="s">
        <v>84</v>
      </c>
      <c r="E18" s="23" t="s">
        <v>79</v>
      </c>
      <c r="F18" s="23" t="s">
        <v>80</v>
      </c>
      <c r="G18" s="23" t="s">
        <v>81</v>
      </c>
      <c r="H18" s="23" t="s">
        <v>82</v>
      </c>
      <c r="I18" s="23" t="s">
        <v>83</v>
      </c>
      <c r="J18" s="23" t="s">
        <v>64</v>
      </c>
      <c r="K18" s="23" t="s">
        <v>65</v>
      </c>
      <c r="L18" s="23">
        <v>17332</v>
      </c>
      <c r="M18" s="23">
        <v>17.332000000000001</v>
      </c>
      <c r="N18" s="23" t="s">
        <v>74</v>
      </c>
      <c r="O18" s="23">
        <v>237</v>
      </c>
      <c r="P18" s="23">
        <v>0</v>
      </c>
      <c r="Q18" s="23">
        <v>0</v>
      </c>
      <c r="R18" s="23"/>
      <c r="S18" s="23" t="s">
        <v>84</v>
      </c>
      <c r="T18" s="23" t="s">
        <v>84</v>
      </c>
      <c r="U18" s="23" t="s">
        <v>84</v>
      </c>
    </row>
    <row r="19" spans="1:21" ht="26" x14ac:dyDescent="0.2">
      <c r="A19" s="24">
        <v>18</v>
      </c>
      <c r="B19" s="24" t="s">
        <v>123</v>
      </c>
      <c r="C19" s="24" t="s">
        <v>57</v>
      </c>
      <c r="D19" s="24" t="s">
        <v>58</v>
      </c>
      <c r="E19" s="24" t="s">
        <v>87</v>
      </c>
      <c r="F19" s="24" t="s">
        <v>88</v>
      </c>
      <c r="G19" s="24" t="s">
        <v>89</v>
      </c>
      <c r="H19" s="24" t="s">
        <v>82</v>
      </c>
      <c r="I19" s="24" t="s">
        <v>83</v>
      </c>
      <c r="J19" s="24" t="s">
        <v>64</v>
      </c>
      <c r="K19" s="24" t="s">
        <v>65</v>
      </c>
      <c r="L19" s="24">
        <v>16982</v>
      </c>
      <c r="M19" s="24">
        <v>16.981999999999999</v>
      </c>
      <c r="N19" s="24" t="s">
        <v>74</v>
      </c>
      <c r="O19" s="24">
        <v>22</v>
      </c>
      <c r="P19" s="24">
        <v>4223</v>
      </c>
      <c r="Q19" s="24">
        <v>4.2229999999999999</v>
      </c>
      <c r="R19" s="24" t="s">
        <v>67</v>
      </c>
      <c r="S19" s="24" t="s">
        <v>76</v>
      </c>
      <c r="T19" s="24" t="s">
        <v>69</v>
      </c>
      <c r="U19" s="24" t="s">
        <v>84</v>
      </c>
    </row>
    <row r="20" spans="1:21" ht="26" x14ac:dyDescent="0.2">
      <c r="A20" s="23">
        <v>19</v>
      </c>
      <c r="B20" s="23" t="s">
        <v>124</v>
      </c>
      <c r="C20" s="23" t="s">
        <v>57</v>
      </c>
      <c r="D20" s="23" t="s">
        <v>58</v>
      </c>
      <c r="E20" s="23" t="s">
        <v>87</v>
      </c>
      <c r="F20" s="23" t="s">
        <v>88</v>
      </c>
      <c r="G20" s="23" t="s">
        <v>89</v>
      </c>
      <c r="H20" s="23" t="s">
        <v>82</v>
      </c>
      <c r="I20" s="23" t="s">
        <v>83</v>
      </c>
      <c r="J20" s="23" t="s">
        <v>64</v>
      </c>
      <c r="K20" s="23" t="s">
        <v>65</v>
      </c>
      <c r="L20" s="23">
        <v>16982</v>
      </c>
      <c r="M20" s="23">
        <v>16.981999999999999</v>
      </c>
      <c r="N20" s="23" t="s">
        <v>74</v>
      </c>
      <c r="O20" s="23">
        <v>22</v>
      </c>
      <c r="P20" s="23">
        <v>4223</v>
      </c>
      <c r="Q20" s="23">
        <v>4.2229999999999999</v>
      </c>
      <c r="R20" s="23" t="s">
        <v>67</v>
      </c>
      <c r="S20" s="23" t="s">
        <v>76</v>
      </c>
      <c r="T20" s="23" t="s">
        <v>69</v>
      </c>
      <c r="U20" s="23" t="s">
        <v>84</v>
      </c>
    </row>
    <row r="21" spans="1:21" ht="26" x14ac:dyDescent="0.2">
      <c r="A21" s="24">
        <v>20</v>
      </c>
      <c r="B21" s="24" t="s">
        <v>125</v>
      </c>
      <c r="C21" s="24" t="s">
        <v>57</v>
      </c>
      <c r="D21" s="24" t="s">
        <v>58</v>
      </c>
      <c r="E21" s="24" t="s">
        <v>79</v>
      </c>
      <c r="F21" s="24" t="s">
        <v>80</v>
      </c>
      <c r="G21" s="24" t="s">
        <v>81</v>
      </c>
      <c r="H21" s="24" t="s">
        <v>82</v>
      </c>
      <c r="I21" s="24" t="s">
        <v>83</v>
      </c>
      <c r="J21" s="24" t="s">
        <v>64</v>
      </c>
      <c r="K21" s="24" t="s">
        <v>65</v>
      </c>
      <c r="L21" s="24">
        <v>14180</v>
      </c>
      <c r="M21" s="24">
        <v>14.18</v>
      </c>
      <c r="N21" s="24" t="s">
        <v>74</v>
      </c>
      <c r="O21" s="24">
        <v>194</v>
      </c>
      <c r="P21" s="24">
        <v>0</v>
      </c>
      <c r="Q21" s="24">
        <v>0</v>
      </c>
      <c r="R21" s="24" t="s">
        <v>75</v>
      </c>
      <c r="S21" s="24" t="s">
        <v>76</v>
      </c>
      <c r="T21" s="24" t="s">
        <v>84</v>
      </c>
      <c r="U21" s="24" t="s">
        <v>70</v>
      </c>
    </row>
    <row r="22" spans="1:21" ht="26" x14ac:dyDescent="0.2">
      <c r="A22" s="23">
        <v>21</v>
      </c>
      <c r="B22" s="23" t="s">
        <v>126</v>
      </c>
      <c r="C22" s="23" t="s">
        <v>57</v>
      </c>
      <c r="D22" s="23" t="s">
        <v>58</v>
      </c>
      <c r="E22" s="23" t="s">
        <v>72</v>
      </c>
      <c r="F22" s="23" t="s">
        <v>73</v>
      </c>
      <c r="G22" s="23" t="s">
        <v>61</v>
      </c>
      <c r="H22" s="23" t="s">
        <v>62</v>
      </c>
      <c r="I22" s="23" t="s">
        <v>63</v>
      </c>
      <c r="J22" s="23" t="s">
        <v>64</v>
      </c>
      <c r="K22" s="23" t="s">
        <v>65</v>
      </c>
      <c r="L22" s="23">
        <v>20610</v>
      </c>
      <c r="M22" s="23">
        <v>20.61</v>
      </c>
      <c r="N22" s="23" t="s">
        <v>66</v>
      </c>
      <c r="O22" s="23">
        <v>22</v>
      </c>
      <c r="P22" s="23">
        <v>3757</v>
      </c>
      <c r="Q22" s="23">
        <v>3.7570000000000001</v>
      </c>
      <c r="R22" s="23" t="s">
        <v>75</v>
      </c>
      <c r="S22" s="23" t="s">
        <v>90</v>
      </c>
      <c r="T22" s="23" t="s">
        <v>127</v>
      </c>
      <c r="U22" s="23" t="s">
        <v>128</v>
      </c>
    </row>
    <row r="23" spans="1:21" x14ac:dyDescent="0.2">
      <c r="A23" s="24">
        <v>22</v>
      </c>
      <c r="B23" s="24" t="s">
        <v>129</v>
      </c>
      <c r="C23" s="24" t="s">
        <v>57</v>
      </c>
      <c r="D23" s="24" t="s">
        <v>58</v>
      </c>
      <c r="E23" s="24" t="s">
        <v>72</v>
      </c>
      <c r="F23" s="24" t="s">
        <v>73</v>
      </c>
      <c r="G23" s="24" t="s">
        <v>61</v>
      </c>
      <c r="H23" s="24" t="s">
        <v>117</v>
      </c>
      <c r="I23" s="24" t="s">
        <v>118</v>
      </c>
      <c r="J23" s="24" t="s">
        <v>64</v>
      </c>
      <c r="K23" s="24" t="s">
        <v>65</v>
      </c>
      <c r="L23" s="24">
        <v>185</v>
      </c>
      <c r="M23" s="24">
        <v>0.185</v>
      </c>
      <c r="N23" s="24" t="s">
        <v>119</v>
      </c>
      <c r="O23" s="24">
        <v>1</v>
      </c>
      <c r="P23" s="24">
        <v>34</v>
      </c>
      <c r="Q23" s="24">
        <v>3.4000000000000002E-2</v>
      </c>
      <c r="R23" s="24" t="s">
        <v>75</v>
      </c>
      <c r="S23" s="24" t="s">
        <v>90</v>
      </c>
      <c r="T23" s="24" t="s">
        <v>130</v>
      </c>
      <c r="U23" s="24" t="s">
        <v>84</v>
      </c>
    </row>
    <row r="24" spans="1:21" ht="26" x14ac:dyDescent="0.2">
      <c r="A24" s="23">
        <v>23</v>
      </c>
      <c r="B24" s="23" t="s">
        <v>131</v>
      </c>
      <c r="C24" s="23" t="s">
        <v>57</v>
      </c>
      <c r="D24" s="23" t="s">
        <v>132</v>
      </c>
      <c r="E24" s="23" t="s">
        <v>87</v>
      </c>
      <c r="F24" s="23" t="s">
        <v>88</v>
      </c>
      <c r="G24" s="23" t="s">
        <v>89</v>
      </c>
      <c r="H24" s="23" t="s">
        <v>82</v>
      </c>
      <c r="I24" s="23" t="s">
        <v>83</v>
      </c>
      <c r="J24" s="23" t="s">
        <v>64</v>
      </c>
      <c r="K24" s="23" t="s">
        <v>65</v>
      </c>
      <c r="L24" s="23">
        <v>16982</v>
      </c>
      <c r="M24" s="23">
        <v>16.981999999999999</v>
      </c>
      <c r="N24" s="23" t="s">
        <v>74</v>
      </c>
      <c r="O24" s="23">
        <v>22</v>
      </c>
      <c r="P24" s="23">
        <v>4223</v>
      </c>
      <c r="Q24" s="23">
        <v>4.2229999999999999</v>
      </c>
      <c r="R24" s="23"/>
      <c r="S24" s="23" t="s">
        <v>84</v>
      </c>
      <c r="T24" s="23" t="s">
        <v>69</v>
      </c>
      <c r="U24" s="23" t="s">
        <v>84</v>
      </c>
    </row>
    <row r="25" spans="1:21" ht="26" x14ac:dyDescent="0.2">
      <c r="A25" s="24">
        <v>24</v>
      </c>
      <c r="B25" s="24" t="s">
        <v>133</v>
      </c>
      <c r="C25" s="24" t="s">
        <v>57</v>
      </c>
      <c r="D25" s="24" t="s">
        <v>132</v>
      </c>
      <c r="E25" s="24" t="s">
        <v>87</v>
      </c>
      <c r="F25" s="24" t="s">
        <v>88</v>
      </c>
      <c r="G25" s="24" t="s">
        <v>89</v>
      </c>
      <c r="H25" s="24" t="s">
        <v>82</v>
      </c>
      <c r="I25" s="24" t="s">
        <v>83</v>
      </c>
      <c r="J25" s="24" t="s">
        <v>64</v>
      </c>
      <c r="K25" s="24" t="s">
        <v>65</v>
      </c>
      <c r="L25" s="24">
        <v>16982</v>
      </c>
      <c r="M25" s="24">
        <v>16.981999999999999</v>
      </c>
      <c r="N25" s="24" t="s">
        <v>74</v>
      </c>
      <c r="O25" s="24">
        <v>22</v>
      </c>
      <c r="P25" s="24">
        <v>4223</v>
      </c>
      <c r="Q25" s="24">
        <v>4.2229999999999999</v>
      </c>
      <c r="R25" s="24"/>
      <c r="S25" s="24" t="s">
        <v>84</v>
      </c>
      <c r="T25" s="24" t="s">
        <v>69</v>
      </c>
      <c r="U25" s="24" t="s">
        <v>84</v>
      </c>
    </row>
    <row r="26" spans="1:21" ht="26" x14ac:dyDescent="0.2">
      <c r="A26" s="23">
        <v>25</v>
      </c>
      <c r="B26" s="23" t="s">
        <v>134</v>
      </c>
      <c r="C26" s="23" t="s">
        <v>57</v>
      </c>
      <c r="D26" s="23" t="s">
        <v>132</v>
      </c>
      <c r="E26" s="23" t="s">
        <v>87</v>
      </c>
      <c r="F26" s="23" t="s">
        <v>88</v>
      </c>
      <c r="G26" s="23" t="s">
        <v>89</v>
      </c>
      <c r="H26" s="23" t="s">
        <v>82</v>
      </c>
      <c r="I26" s="23" t="s">
        <v>83</v>
      </c>
      <c r="J26" s="23" t="s">
        <v>64</v>
      </c>
      <c r="K26" s="23" t="s">
        <v>65</v>
      </c>
      <c r="L26" s="23">
        <v>16982</v>
      </c>
      <c r="M26" s="23">
        <v>16.981999999999999</v>
      </c>
      <c r="N26" s="23" t="s">
        <v>74</v>
      </c>
      <c r="O26" s="23">
        <v>22</v>
      </c>
      <c r="P26" s="23">
        <v>4223</v>
      </c>
      <c r="Q26" s="23">
        <v>4.2229999999999999</v>
      </c>
      <c r="R26" s="23"/>
      <c r="S26" s="23" t="s">
        <v>84</v>
      </c>
      <c r="T26" s="23" t="s">
        <v>69</v>
      </c>
      <c r="U26" s="23" t="s">
        <v>84</v>
      </c>
    </row>
    <row r="27" spans="1:21" ht="26" x14ac:dyDescent="0.2">
      <c r="A27" s="24">
        <v>26</v>
      </c>
      <c r="B27" s="24" t="s">
        <v>135</v>
      </c>
      <c r="C27" s="24" t="s">
        <v>57</v>
      </c>
      <c r="D27" s="24" t="s">
        <v>132</v>
      </c>
      <c r="E27" s="24" t="s">
        <v>87</v>
      </c>
      <c r="F27" s="24" t="s">
        <v>88</v>
      </c>
      <c r="G27" s="24" t="s">
        <v>89</v>
      </c>
      <c r="H27" s="24" t="s">
        <v>82</v>
      </c>
      <c r="I27" s="24" t="s">
        <v>83</v>
      </c>
      <c r="J27" s="24" t="s">
        <v>64</v>
      </c>
      <c r="K27" s="24" t="s">
        <v>65</v>
      </c>
      <c r="L27" s="24">
        <v>16982</v>
      </c>
      <c r="M27" s="24">
        <v>16.981999999999999</v>
      </c>
      <c r="N27" s="24" t="s">
        <v>74</v>
      </c>
      <c r="O27" s="24">
        <v>22</v>
      </c>
      <c r="P27" s="24">
        <v>4223</v>
      </c>
      <c r="Q27" s="24">
        <v>4.2229999999999999</v>
      </c>
      <c r="R27" s="24"/>
      <c r="S27" s="24" t="s">
        <v>84</v>
      </c>
      <c r="T27" s="24" t="s">
        <v>69</v>
      </c>
      <c r="U27" s="24" t="s">
        <v>84</v>
      </c>
    </row>
    <row r="28" spans="1:21" ht="26" x14ac:dyDescent="0.2">
      <c r="A28" s="23">
        <v>27</v>
      </c>
      <c r="B28" s="23" t="s">
        <v>136</v>
      </c>
      <c r="C28" s="23" t="s">
        <v>57</v>
      </c>
      <c r="D28" s="23" t="s">
        <v>132</v>
      </c>
      <c r="E28" s="23" t="s">
        <v>87</v>
      </c>
      <c r="F28" s="23" t="s">
        <v>88</v>
      </c>
      <c r="G28" s="23" t="s">
        <v>89</v>
      </c>
      <c r="H28" s="23" t="s">
        <v>82</v>
      </c>
      <c r="I28" s="23" t="s">
        <v>83</v>
      </c>
      <c r="J28" s="23" t="s">
        <v>64</v>
      </c>
      <c r="K28" s="23" t="s">
        <v>65</v>
      </c>
      <c r="L28" s="23">
        <v>16982</v>
      </c>
      <c r="M28" s="23">
        <v>16.981999999999999</v>
      </c>
      <c r="N28" s="23" t="s">
        <v>74</v>
      </c>
      <c r="O28" s="23">
        <v>22</v>
      </c>
      <c r="P28" s="23">
        <v>4223</v>
      </c>
      <c r="Q28" s="23">
        <v>4.2229999999999999</v>
      </c>
      <c r="R28" s="23"/>
      <c r="S28" s="23" t="s">
        <v>84</v>
      </c>
      <c r="T28" s="23" t="s">
        <v>69</v>
      </c>
      <c r="U28" s="23" t="s">
        <v>84</v>
      </c>
    </row>
    <row r="29" spans="1:21" ht="26" x14ac:dyDescent="0.2">
      <c r="A29" s="24">
        <v>28</v>
      </c>
      <c r="B29" s="24" t="s">
        <v>137</v>
      </c>
      <c r="C29" s="24" t="s">
        <v>57</v>
      </c>
      <c r="D29" s="24" t="s">
        <v>132</v>
      </c>
      <c r="E29" s="24" t="s">
        <v>87</v>
      </c>
      <c r="F29" s="24" t="s">
        <v>88</v>
      </c>
      <c r="G29" s="24" t="s">
        <v>89</v>
      </c>
      <c r="H29" s="24" t="s">
        <v>82</v>
      </c>
      <c r="I29" s="24" t="s">
        <v>83</v>
      </c>
      <c r="J29" s="24" t="s">
        <v>64</v>
      </c>
      <c r="K29" s="24" t="s">
        <v>65</v>
      </c>
      <c r="L29" s="24">
        <v>16982</v>
      </c>
      <c r="M29" s="24">
        <v>16.981999999999999</v>
      </c>
      <c r="N29" s="24" t="s">
        <v>74</v>
      </c>
      <c r="O29" s="24">
        <v>22</v>
      </c>
      <c r="P29" s="24">
        <v>4223</v>
      </c>
      <c r="Q29" s="24">
        <v>4.2229999999999999</v>
      </c>
      <c r="R29" s="24"/>
      <c r="S29" s="24" t="s">
        <v>84</v>
      </c>
      <c r="T29" s="24" t="s">
        <v>69</v>
      </c>
      <c r="U29" s="24" t="s">
        <v>84</v>
      </c>
    </row>
    <row r="30" spans="1:21" ht="26" x14ac:dyDescent="0.2">
      <c r="A30" s="23">
        <v>29</v>
      </c>
      <c r="B30" s="23" t="s">
        <v>138</v>
      </c>
      <c r="C30" s="23" t="s">
        <v>57</v>
      </c>
      <c r="D30" s="23" t="s">
        <v>132</v>
      </c>
      <c r="E30" s="23" t="s">
        <v>87</v>
      </c>
      <c r="F30" s="23" t="s">
        <v>88</v>
      </c>
      <c r="G30" s="23" t="s">
        <v>89</v>
      </c>
      <c r="H30" s="23" t="s">
        <v>82</v>
      </c>
      <c r="I30" s="23" t="s">
        <v>83</v>
      </c>
      <c r="J30" s="23" t="s">
        <v>64</v>
      </c>
      <c r="K30" s="23" t="s">
        <v>65</v>
      </c>
      <c r="L30" s="23">
        <v>16982</v>
      </c>
      <c r="M30" s="23">
        <v>16.981999999999999</v>
      </c>
      <c r="N30" s="23" t="s">
        <v>74</v>
      </c>
      <c r="O30" s="23">
        <v>22</v>
      </c>
      <c r="P30" s="23">
        <v>4223</v>
      </c>
      <c r="Q30" s="23">
        <v>4.2229999999999999</v>
      </c>
      <c r="R30" s="23"/>
      <c r="S30" s="23" t="s">
        <v>84</v>
      </c>
      <c r="T30" s="23" t="s">
        <v>69</v>
      </c>
      <c r="U30" s="23" t="s">
        <v>84</v>
      </c>
    </row>
    <row r="31" spans="1:21" ht="26" x14ac:dyDescent="0.2">
      <c r="A31" s="24">
        <v>30</v>
      </c>
      <c r="B31" s="24" t="s">
        <v>139</v>
      </c>
      <c r="C31" s="24" t="s">
        <v>57</v>
      </c>
      <c r="D31" s="24" t="s">
        <v>132</v>
      </c>
      <c r="E31" s="24" t="s">
        <v>87</v>
      </c>
      <c r="F31" s="24" t="s">
        <v>88</v>
      </c>
      <c r="G31" s="24" t="s">
        <v>89</v>
      </c>
      <c r="H31" s="24" t="s">
        <v>82</v>
      </c>
      <c r="I31" s="24" t="s">
        <v>83</v>
      </c>
      <c r="J31" s="24" t="s">
        <v>64</v>
      </c>
      <c r="K31" s="24" t="s">
        <v>65</v>
      </c>
      <c r="L31" s="24">
        <v>16982</v>
      </c>
      <c r="M31" s="24">
        <v>16.981999999999999</v>
      </c>
      <c r="N31" s="24" t="s">
        <v>74</v>
      </c>
      <c r="O31" s="24">
        <v>22</v>
      </c>
      <c r="P31" s="24">
        <v>4223</v>
      </c>
      <c r="Q31" s="24">
        <v>4.2229999999999999</v>
      </c>
      <c r="R31" s="24"/>
      <c r="S31" s="24" t="s">
        <v>84</v>
      </c>
      <c r="T31" s="24" t="s">
        <v>69</v>
      </c>
      <c r="U31" s="24" t="s">
        <v>84</v>
      </c>
    </row>
    <row r="32" spans="1:21" ht="26" x14ac:dyDescent="0.2">
      <c r="A32" s="23">
        <v>31</v>
      </c>
      <c r="B32" s="23" t="s">
        <v>140</v>
      </c>
      <c r="C32" s="23" t="s">
        <v>57</v>
      </c>
      <c r="D32" s="23" t="s">
        <v>132</v>
      </c>
      <c r="E32" s="23" t="s">
        <v>87</v>
      </c>
      <c r="F32" s="23" t="s">
        <v>88</v>
      </c>
      <c r="G32" s="23" t="s">
        <v>89</v>
      </c>
      <c r="H32" s="23" t="s">
        <v>82</v>
      </c>
      <c r="I32" s="23" t="s">
        <v>83</v>
      </c>
      <c r="J32" s="23" t="s">
        <v>64</v>
      </c>
      <c r="K32" s="23" t="s">
        <v>65</v>
      </c>
      <c r="L32" s="23">
        <v>16982</v>
      </c>
      <c r="M32" s="23">
        <v>16.981999999999999</v>
      </c>
      <c r="N32" s="23" t="s">
        <v>74</v>
      </c>
      <c r="O32" s="23">
        <v>22</v>
      </c>
      <c r="P32" s="23">
        <v>4223</v>
      </c>
      <c r="Q32" s="23">
        <v>4.2229999999999999</v>
      </c>
      <c r="R32" s="23"/>
      <c r="S32" s="23" t="s">
        <v>84</v>
      </c>
      <c r="T32" s="23" t="s">
        <v>69</v>
      </c>
      <c r="U32" s="23" t="s">
        <v>84</v>
      </c>
    </row>
    <row r="33" spans="1:21" ht="26" x14ac:dyDescent="0.2">
      <c r="A33" s="24">
        <v>32</v>
      </c>
      <c r="B33" s="24" t="s">
        <v>141</v>
      </c>
      <c r="C33" s="24" t="s">
        <v>57</v>
      </c>
      <c r="D33" s="24" t="s">
        <v>132</v>
      </c>
      <c r="E33" s="24" t="s">
        <v>87</v>
      </c>
      <c r="F33" s="24" t="s">
        <v>88</v>
      </c>
      <c r="G33" s="24" t="s">
        <v>89</v>
      </c>
      <c r="H33" s="24" t="s">
        <v>82</v>
      </c>
      <c r="I33" s="24" t="s">
        <v>83</v>
      </c>
      <c r="J33" s="24" t="s">
        <v>64</v>
      </c>
      <c r="K33" s="24" t="s">
        <v>65</v>
      </c>
      <c r="L33" s="24">
        <v>16982</v>
      </c>
      <c r="M33" s="24">
        <v>16.981999999999999</v>
      </c>
      <c r="N33" s="24" t="s">
        <v>74</v>
      </c>
      <c r="O33" s="24">
        <v>22</v>
      </c>
      <c r="P33" s="24">
        <v>4223</v>
      </c>
      <c r="Q33" s="24">
        <v>4.2229999999999999</v>
      </c>
      <c r="R33" s="24"/>
      <c r="S33" s="24" t="s">
        <v>84</v>
      </c>
      <c r="T33" s="24" t="s">
        <v>69</v>
      </c>
      <c r="U33" s="24" t="s">
        <v>84</v>
      </c>
    </row>
    <row r="34" spans="1:21" ht="26" x14ac:dyDescent="0.2">
      <c r="A34" s="23">
        <v>33</v>
      </c>
      <c r="B34" s="23" t="s">
        <v>142</v>
      </c>
      <c r="C34" s="23" t="s">
        <v>57</v>
      </c>
      <c r="D34" s="23" t="s">
        <v>132</v>
      </c>
      <c r="E34" s="23" t="s">
        <v>87</v>
      </c>
      <c r="F34" s="23" t="s">
        <v>88</v>
      </c>
      <c r="G34" s="23" t="s">
        <v>89</v>
      </c>
      <c r="H34" s="23" t="s">
        <v>82</v>
      </c>
      <c r="I34" s="23" t="s">
        <v>83</v>
      </c>
      <c r="J34" s="23" t="s">
        <v>64</v>
      </c>
      <c r="K34" s="23" t="s">
        <v>65</v>
      </c>
      <c r="L34" s="23">
        <v>16982</v>
      </c>
      <c r="M34" s="23">
        <v>16.981999999999999</v>
      </c>
      <c r="N34" s="23" t="s">
        <v>74</v>
      </c>
      <c r="O34" s="23">
        <v>22</v>
      </c>
      <c r="P34" s="23">
        <v>4223</v>
      </c>
      <c r="Q34" s="23">
        <v>4.2229999999999999</v>
      </c>
      <c r="R34" s="23"/>
      <c r="S34" s="23" t="s">
        <v>84</v>
      </c>
      <c r="T34" s="23" t="s">
        <v>69</v>
      </c>
      <c r="U34" s="23" t="s">
        <v>84</v>
      </c>
    </row>
    <row r="35" spans="1:21" ht="26" x14ac:dyDescent="0.2">
      <c r="A35" s="24">
        <v>34</v>
      </c>
      <c r="B35" s="24" t="s">
        <v>143</v>
      </c>
      <c r="C35" s="24" t="s">
        <v>57</v>
      </c>
      <c r="D35" s="24" t="s">
        <v>132</v>
      </c>
      <c r="E35" s="24" t="s">
        <v>87</v>
      </c>
      <c r="F35" s="24" t="s">
        <v>88</v>
      </c>
      <c r="G35" s="24" t="s">
        <v>89</v>
      </c>
      <c r="H35" s="24" t="s">
        <v>82</v>
      </c>
      <c r="I35" s="24" t="s">
        <v>83</v>
      </c>
      <c r="J35" s="24" t="s">
        <v>64</v>
      </c>
      <c r="K35" s="24" t="s">
        <v>65</v>
      </c>
      <c r="L35" s="24">
        <v>16982</v>
      </c>
      <c r="M35" s="24">
        <v>16.981999999999999</v>
      </c>
      <c r="N35" s="24" t="s">
        <v>74</v>
      </c>
      <c r="O35" s="24">
        <v>22</v>
      </c>
      <c r="P35" s="24">
        <v>4223</v>
      </c>
      <c r="Q35" s="24">
        <v>4.2229999999999999</v>
      </c>
      <c r="R35" s="24"/>
      <c r="S35" s="24" t="s">
        <v>84</v>
      </c>
      <c r="T35" s="24" t="s">
        <v>69</v>
      </c>
      <c r="U35" s="24" t="s">
        <v>84</v>
      </c>
    </row>
    <row r="36" spans="1:21" ht="26" x14ac:dyDescent="0.2">
      <c r="A36" s="23">
        <v>35</v>
      </c>
      <c r="B36" s="23" t="s">
        <v>144</v>
      </c>
      <c r="C36" s="23" t="s">
        <v>57</v>
      </c>
      <c r="D36" s="23" t="s">
        <v>132</v>
      </c>
      <c r="E36" s="23" t="s">
        <v>87</v>
      </c>
      <c r="F36" s="23" t="s">
        <v>88</v>
      </c>
      <c r="G36" s="23" t="s">
        <v>89</v>
      </c>
      <c r="H36" s="23" t="s">
        <v>82</v>
      </c>
      <c r="I36" s="23" t="s">
        <v>83</v>
      </c>
      <c r="J36" s="23" t="s">
        <v>64</v>
      </c>
      <c r="K36" s="23" t="s">
        <v>65</v>
      </c>
      <c r="L36" s="23">
        <v>16982</v>
      </c>
      <c r="M36" s="23">
        <v>16.981999999999999</v>
      </c>
      <c r="N36" s="23" t="s">
        <v>74</v>
      </c>
      <c r="O36" s="23">
        <v>22</v>
      </c>
      <c r="P36" s="23">
        <v>4223</v>
      </c>
      <c r="Q36" s="23">
        <v>4.2229999999999999</v>
      </c>
      <c r="R36" s="23"/>
      <c r="S36" s="23" t="s">
        <v>84</v>
      </c>
      <c r="T36" s="23" t="s">
        <v>69</v>
      </c>
      <c r="U36" s="23" t="s">
        <v>84</v>
      </c>
    </row>
    <row r="37" spans="1:21" ht="26" x14ac:dyDescent="0.2">
      <c r="A37" s="24">
        <v>36</v>
      </c>
      <c r="B37" s="24" t="s">
        <v>145</v>
      </c>
      <c r="C37" s="24" t="s">
        <v>57</v>
      </c>
      <c r="D37" s="24" t="s">
        <v>132</v>
      </c>
      <c r="E37" s="24" t="s">
        <v>87</v>
      </c>
      <c r="F37" s="24" t="s">
        <v>88</v>
      </c>
      <c r="G37" s="24" t="s">
        <v>89</v>
      </c>
      <c r="H37" s="24" t="s">
        <v>82</v>
      </c>
      <c r="I37" s="24" t="s">
        <v>83</v>
      </c>
      <c r="J37" s="24" t="s">
        <v>64</v>
      </c>
      <c r="K37" s="24" t="s">
        <v>65</v>
      </c>
      <c r="L37" s="24">
        <v>16982</v>
      </c>
      <c r="M37" s="24">
        <v>16.981999999999999</v>
      </c>
      <c r="N37" s="24" t="s">
        <v>74</v>
      </c>
      <c r="O37" s="24">
        <v>22</v>
      </c>
      <c r="P37" s="24">
        <v>4223</v>
      </c>
      <c r="Q37" s="24">
        <v>4.2229999999999999</v>
      </c>
      <c r="R37" s="24"/>
      <c r="S37" s="24" t="s">
        <v>84</v>
      </c>
      <c r="T37" s="24" t="s">
        <v>69</v>
      </c>
      <c r="U37" s="24" t="s">
        <v>84</v>
      </c>
    </row>
    <row r="38" spans="1:21" ht="26" x14ac:dyDescent="0.2">
      <c r="A38" s="23">
        <v>37</v>
      </c>
      <c r="B38" s="23" t="s">
        <v>146</v>
      </c>
      <c r="C38" s="23" t="s">
        <v>57</v>
      </c>
      <c r="D38" s="23" t="s">
        <v>132</v>
      </c>
      <c r="E38" s="23" t="s">
        <v>87</v>
      </c>
      <c r="F38" s="23" t="s">
        <v>88</v>
      </c>
      <c r="G38" s="23" t="s">
        <v>89</v>
      </c>
      <c r="H38" s="23" t="s">
        <v>82</v>
      </c>
      <c r="I38" s="23" t="s">
        <v>83</v>
      </c>
      <c r="J38" s="23" t="s">
        <v>64</v>
      </c>
      <c r="K38" s="23" t="s">
        <v>65</v>
      </c>
      <c r="L38" s="23">
        <v>16982</v>
      </c>
      <c r="M38" s="23">
        <v>16.981999999999999</v>
      </c>
      <c r="N38" s="23" t="s">
        <v>74</v>
      </c>
      <c r="O38" s="23">
        <v>22</v>
      </c>
      <c r="P38" s="23">
        <v>4223</v>
      </c>
      <c r="Q38" s="23">
        <v>4.2229999999999999</v>
      </c>
      <c r="R38" s="23"/>
      <c r="S38" s="23" t="s">
        <v>84</v>
      </c>
      <c r="T38" s="23" t="s">
        <v>69</v>
      </c>
      <c r="U38" s="23" t="s">
        <v>84</v>
      </c>
    </row>
    <row r="39" spans="1:21" ht="26" x14ac:dyDescent="0.2">
      <c r="A39" s="24">
        <v>38</v>
      </c>
      <c r="B39" s="24" t="s">
        <v>147</v>
      </c>
      <c r="C39" s="24" t="s">
        <v>57</v>
      </c>
      <c r="D39" s="24" t="s">
        <v>132</v>
      </c>
      <c r="E39" s="24" t="s">
        <v>87</v>
      </c>
      <c r="F39" s="24" t="s">
        <v>88</v>
      </c>
      <c r="G39" s="24" t="s">
        <v>89</v>
      </c>
      <c r="H39" s="24" t="s">
        <v>82</v>
      </c>
      <c r="I39" s="24" t="s">
        <v>83</v>
      </c>
      <c r="J39" s="24" t="s">
        <v>64</v>
      </c>
      <c r="K39" s="24" t="s">
        <v>65</v>
      </c>
      <c r="L39" s="24">
        <v>16982</v>
      </c>
      <c r="M39" s="24">
        <v>16.981999999999999</v>
      </c>
      <c r="N39" s="24" t="s">
        <v>74</v>
      </c>
      <c r="O39" s="24">
        <v>22</v>
      </c>
      <c r="P39" s="24">
        <v>4223</v>
      </c>
      <c r="Q39" s="24">
        <v>4.2229999999999999</v>
      </c>
      <c r="R39" s="24"/>
      <c r="S39" s="24" t="s">
        <v>84</v>
      </c>
      <c r="T39" s="24" t="s">
        <v>69</v>
      </c>
      <c r="U39" s="24" t="s">
        <v>84</v>
      </c>
    </row>
    <row r="40" spans="1:21" ht="26" x14ac:dyDescent="0.2">
      <c r="A40" s="23">
        <v>39</v>
      </c>
      <c r="B40" s="23" t="s">
        <v>148</v>
      </c>
      <c r="C40" s="23" t="s">
        <v>57</v>
      </c>
      <c r="D40" s="23" t="s">
        <v>132</v>
      </c>
      <c r="E40" s="23" t="s">
        <v>87</v>
      </c>
      <c r="F40" s="23" t="s">
        <v>88</v>
      </c>
      <c r="G40" s="23" t="s">
        <v>89</v>
      </c>
      <c r="H40" s="23" t="s">
        <v>82</v>
      </c>
      <c r="I40" s="23" t="s">
        <v>83</v>
      </c>
      <c r="J40" s="23" t="s">
        <v>64</v>
      </c>
      <c r="K40" s="23" t="s">
        <v>65</v>
      </c>
      <c r="L40" s="23">
        <v>16982</v>
      </c>
      <c r="M40" s="23">
        <v>16.981999999999999</v>
      </c>
      <c r="N40" s="23" t="s">
        <v>74</v>
      </c>
      <c r="O40" s="23">
        <v>22</v>
      </c>
      <c r="P40" s="23">
        <v>4223</v>
      </c>
      <c r="Q40" s="23">
        <v>4.2229999999999999</v>
      </c>
      <c r="R40" s="23"/>
      <c r="S40" s="23" t="s">
        <v>84</v>
      </c>
      <c r="T40" s="23" t="s">
        <v>69</v>
      </c>
      <c r="U40" s="23" t="s">
        <v>84</v>
      </c>
    </row>
    <row r="41" spans="1:21" ht="26" x14ac:dyDescent="0.2">
      <c r="A41" s="24">
        <v>40</v>
      </c>
      <c r="B41" s="24" t="s">
        <v>149</v>
      </c>
      <c r="C41" s="24" t="s">
        <v>57</v>
      </c>
      <c r="D41" s="24" t="s">
        <v>132</v>
      </c>
      <c r="E41" s="24" t="s">
        <v>87</v>
      </c>
      <c r="F41" s="24" t="s">
        <v>88</v>
      </c>
      <c r="G41" s="24" t="s">
        <v>89</v>
      </c>
      <c r="H41" s="24" t="s">
        <v>82</v>
      </c>
      <c r="I41" s="24" t="s">
        <v>83</v>
      </c>
      <c r="J41" s="24" t="s">
        <v>64</v>
      </c>
      <c r="K41" s="24" t="s">
        <v>65</v>
      </c>
      <c r="L41" s="24">
        <v>16982</v>
      </c>
      <c r="M41" s="24">
        <v>16.981999999999999</v>
      </c>
      <c r="N41" s="24" t="s">
        <v>74</v>
      </c>
      <c r="O41" s="24">
        <v>22</v>
      </c>
      <c r="P41" s="24">
        <v>4223</v>
      </c>
      <c r="Q41" s="24">
        <v>4.2229999999999999</v>
      </c>
      <c r="R41" s="24"/>
      <c r="S41" s="24" t="s">
        <v>84</v>
      </c>
      <c r="T41" s="24" t="s">
        <v>69</v>
      </c>
      <c r="U41" s="24" t="s">
        <v>84</v>
      </c>
    </row>
    <row r="42" spans="1:21" ht="26" x14ac:dyDescent="0.2">
      <c r="A42" s="23">
        <v>41</v>
      </c>
      <c r="B42" s="23" t="s">
        <v>150</v>
      </c>
      <c r="C42" s="23" t="s">
        <v>57</v>
      </c>
      <c r="D42" s="23" t="s">
        <v>132</v>
      </c>
      <c r="E42" s="23" t="s">
        <v>87</v>
      </c>
      <c r="F42" s="23" t="s">
        <v>88</v>
      </c>
      <c r="G42" s="23" t="s">
        <v>89</v>
      </c>
      <c r="H42" s="23" t="s">
        <v>82</v>
      </c>
      <c r="I42" s="23" t="s">
        <v>83</v>
      </c>
      <c r="J42" s="23" t="s">
        <v>64</v>
      </c>
      <c r="K42" s="23" t="s">
        <v>65</v>
      </c>
      <c r="L42" s="23">
        <v>16982</v>
      </c>
      <c r="M42" s="23">
        <v>16.981999999999999</v>
      </c>
      <c r="N42" s="23" t="s">
        <v>74</v>
      </c>
      <c r="O42" s="23">
        <v>22</v>
      </c>
      <c r="P42" s="23">
        <v>4223</v>
      </c>
      <c r="Q42" s="23">
        <v>4.2229999999999999</v>
      </c>
      <c r="R42" s="23"/>
      <c r="S42" s="23" t="s">
        <v>84</v>
      </c>
      <c r="T42" s="23" t="s">
        <v>69</v>
      </c>
      <c r="U42" s="23" t="s">
        <v>84</v>
      </c>
    </row>
    <row r="43" spans="1:21" ht="26" x14ac:dyDescent="0.2">
      <c r="A43" s="24">
        <v>42</v>
      </c>
      <c r="B43" s="24" t="s">
        <v>151</v>
      </c>
      <c r="C43" s="24" t="s">
        <v>57</v>
      </c>
      <c r="D43" s="24" t="s">
        <v>132</v>
      </c>
      <c r="E43" s="24" t="s">
        <v>87</v>
      </c>
      <c r="F43" s="24" t="s">
        <v>88</v>
      </c>
      <c r="G43" s="24" t="s">
        <v>89</v>
      </c>
      <c r="H43" s="24" t="s">
        <v>82</v>
      </c>
      <c r="I43" s="24" t="s">
        <v>83</v>
      </c>
      <c r="J43" s="24" t="s">
        <v>64</v>
      </c>
      <c r="K43" s="24" t="s">
        <v>65</v>
      </c>
      <c r="L43" s="24">
        <v>16982</v>
      </c>
      <c r="M43" s="24">
        <v>16.981999999999999</v>
      </c>
      <c r="N43" s="24" t="s">
        <v>74</v>
      </c>
      <c r="O43" s="24">
        <v>22</v>
      </c>
      <c r="P43" s="24">
        <v>4223</v>
      </c>
      <c r="Q43" s="24">
        <v>4.2229999999999999</v>
      </c>
      <c r="R43" s="24"/>
      <c r="S43" s="24" t="s">
        <v>84</v>
      </c>
      <c r="T43" s="24" t="s">
        <v>69</v>
      </c>
      <c r="U43" s="24" t="s">
        <v>84</v>
      </c>
    </row>
    <row r="44" spans="1:21" ht="26" x14ac:dyDescent="0.2">
      <c r="A44" s="23">
        <v>43</v>
      </c>
      <c r="B44" s="23" t="s">
        <v>152</v>
      </c>
      <c r="C44" s="23" t="s">
        <v>57</v>
      </c>
      <c r="D44" s="23" t="s">
        <v>58</v>
      </c>
      <c r="E44" s="23" t="s">
        <v>87</v>
      </c>
      <c r="F44" s="23" t="s">
        <v>88</v>
      </c>
      <c r="G44" s="23" t="s">
        <v>89</v>
      </c>
      <c r="H44" s="23" t="s">
        <v>153</v>
      </c>
      <c r="I44" s="23" t="s">
        <v>154</v>
      </c>
      <c r="J44" s="23" t="s">
        <v>155</v>
      </c>
      <c r="K44" s="23" t="s">
        <v>155</v>
      </c>
      <c r="L44" s="23">
        <v>77532</v>
      </c>
      <c r="M44" s="23">
        <v>77.531999999999996</v>
      </c>
      <c r="N44" s="23" t="s">
        <v>156</v>
      </c>
      <c r="O44" s="23">
        <v>77</v>
      </c>
      <c r="P44" s="23">
        <v>19282</v>
      </c>
      <c r="Q44" s="23">
        <v>19.282</v>
      </c>
      <c r="R44" s="23" t="s">
        <v>67</v>
      </c>
      <c r="S44" s="23" t="s">
        <v>101</v>
      </c>
      <c r="T44" s="23" t="s">
        <v>77</v>
      </c>
      <c r="U44" s="23" t="s">
        <v>70</v>
      </c>
    </row>
    <row r="45" spans="1:21" ht="26" x14ac:dyDescent="0.2">
      <c r="A45" s="24">
        <v>44</v>
      </c>
      <c r="B45" s="24" t="s">
        <v>157</v>
      </c>
      <c r="C45" s="24" t="s">
        <v>57</v>
      </c>
      <c r="D45" s="24" t="s">
        <v>58</v>
      </c>
      <c r="E45" s="24" t="s">
        <v>59</v>
      </c>
      <c r="F45" s="24" t="s">
        <v>60</v>
      </c>
      <c r="G45" s="24" t="s">
        <v>61</v>
      </c>
      <c r="H45" s="24" t="s">
        <v>62</v>
      </c>
      <c r="I45" s="24" t="s">
        <v>63</v>
      </c>
      <c r="J45" s="24" t="s">
        <v>64</v>
      </c>
      <c r="K45" s="24" t="s">
        <v>65</v>
      </c>
      <c r="L45" s="24">
        <v>24429</v>
      </c>
      <c r="M45" s="24">
        <v>24.428999999999998</v>
      </c>
      <c r="N45" s="24" t="s">
        <v>66</v>
      </c>
      <c r="O45" s="24">
        <v>28</v>
      </c>
      <c r="P45" s="24">
        <v>2836</v>
      </c>
      <c r="Q45" s="24">
        <v>2.8359999999999999</v>
      </c>
      <c r="R45" s="24" t="s">
        <v>75</v>
      </c>
      <c r="S45" s="24" t="s">
        <v>76</v>
      </c>
      <c r="T45" s="24" t="s">
        <v>158</v>
      </c>
      <c r="U45" s="24" t="s">
        <v>85</v>
      </c>
    </row>
    <row r="46" spans="1:21" x14ac:dyDescent="0.2">
      <c r="A46" s="23">
        <v>45</v>
      </c>
      <c r="B46" s="23" t="s">
        <v>159</v>
      </c>
      <c r="C46" s="23" t="s">
        <v>57</v>
      </c>
      <c r="D46" s="23" t="s">
        <v>58</v>
      </c>
      <c r="E46" s="23" t="s">
        <v>87</v>
      </c>
      <c r="F46" s="23" t="s">
        <v>88</v>
      </c>
      <c r="G46" s="23" t="s">
        <v>89</v>
      </c>
      <c r="H46" s="23" t="s">
        <v>160</v>
      </c>
      <c r="I46" s="23" t="s">
        <v>84</v>
      </c>
      <c r="J46" s="23" t="s">
        <v>64</v>
      </c>
      <c r="K46" s="23" t="s">
        <v>64</v>
      </c>
      <c r="L46" s="23">
        <v>49517</v>
      </c>
      <c r="M46" s="23">
        <v>49.517000000000003</v>
      </c>
      <c r="N46" s="23" t="s">
        <v>66</v>
      </c>
      <c r="O46" s="23">
        <v>53</v>
      </c>
      <c r="P46" s="23">
        <v>12315</v>
      </c>
      <c r="Q46" s="23">
        <v>12.315</v>
      </c>
      <c r="R46" s="23" t="s">
        <v>75</v>
      </c>
      <c r="S46" s="23" t="s">
        <v>101</v>
      </c>
      <c r="T46" s="23" t="s">
        <v>77</v>
      </c>
      <c r="U46" s="23" t="s">
        <v>84</v>
      </c>
    </row>
    <row r="47" spans="1:21" ht="26" x14ac:dyDescent="0.2">
      <c r="A47" s="24">
        <v>46</v>
      </c>
      <c r="B47" s="24" t="s">
        <v>161</v>
      </c>
      <c r="C47" s="24" t="s">
        <v>57</v>
      </c>
      <c r="D47" s="24" t="s">
        <v>58</v>
      </c>
      <c r="E47" s="24" t="s">
        <v>103</v>
      </c>
      <c r="F47" s="24" t="s">
        <v>104</v>
      </c>
      <c r="G47" s="24" t="s">
        <v>105</v>
      </c>
      <c r="H47" s="24" t="s">
        <v>162</v>
      </c>
      <c r="I47" s="24" t="s">
        <v>84</v>
      </c>
      <c r="J47" s="24" t="s">
        <v>64</v>
      </c>
      <c r="K47" s="24" t="s">
        <v>64</v>
      </c>
      <c r="L47" s="24">
        <v>6018</v>
      </c>
      <c r="M47" s="24">
        <v>6.0179999999999998</v>
      </c>
      <c r="N47" s="24" t="s">
        <v>74</v>
      </c>
      <c r="O47" s="24">
        <v>10</v>
      </c>
      <c r="P47" s="24">
        <v>67</v>
      </c>
      <c r="Q47" s="24">
        <v>6.7000000000000004E-2</v>
      </c>
      <c r="R47" s="24" t="s">
        <v>75</v>
      </c>
      <c r="S47" s="24" t="s">
        <v>115</v>
      </c>
      <c r="T47" s="24" t="s">
        <v>84</v>
      </c>
      <c r="U47" s="24" t="s">
        <v>84</v>
      </c>
    </row>
    <row r="48" spans="1:21" ht="26" x14ac:dyDescent="0.2">
      <c r="A48" s="23">
        <v>47</v>
      </c>
      <c r="B48" s="23" t="s">
        <v>163</v>
      </c>
      <c r="C48" s="23" t="s">
        <v>57</v>
      </c>
      <c r="D48" s="23" t="s">
        <v>58</v>
      </c>
      <c r="E48" s="23" t="s">
        <v>87</v>
      </c>
      <c r="F48" s="23" t="s">
        <v>88</v>
      </c>
      <c r="G48" s="23" t="s">
        <v>89</v>
      </c>
      <c r="H48" s="23" t="s">
        <v>82</v>
      </c>
      <c r="I48" s="23" t="s">
        <v>83</v>
      </c>
      <c r="J48" s="23" t="s">
        <v>64</v>
      </c>
      <c r="K48" s="23" t="s">
        <v>65</v>
      </c>
      <c r="L48" s="23">
        <v>13755</v>
      </c>
      <c r="M48" s="23">
        <v>13.755000000000001</v>
      </c>
      <c r="N48" s="23" t="s">
        <v>74</v>
      </c>
      <c r="O48" s="23">
        <v>15</v>
      </c>
      <c r="P48" s="23">
        <v>3421</v>
      </c>
      <c r="Q48" s="23">
        <v>3.4209999999999998</v>
      </c>
      <c r="R48" s="23" t="s">
        <v>75</v>
      </c>
      <c r="S48" s="23" t="s">
        <v>101</v>
      </c>
      <c r="T48" s="23" t="s">
        <v>127</v>
      </c>
      <c r="U48" s="23" t="s">
        <v>85</v>
      </c>
    </row>
    <row r="49" spans="1:21" ht="39" x14ac:dyDescent="0.2">
      <c r="A49" s="24">
        <v>48</v>
      </c>
      <c r="B49" s="24" t="s">
        <v>164</v>
      </c>
      <c r="C49" s="24" t="s">
        <v>57</v>
      </c>
      <c r="D49" s="24" t="s">
        <v>58</v>
      </c>
      <c r="E49" s="24" t="s">
        <v>59</v>
      </c>
      <c r="F49" s="24" t="s">
        <v>60</v>
      </c>
      <c r="G49" s="24" t="s">
        <v>61</v>
      </c>
      <c r="H49" s="24" t="s">
        <v>62</v>
      </c>
      <c r="I49" s="24" t="s">
        <v>63</v>
      </c>
      <c r="J49" s="24" t="s">
        <v>64</v>
      </c>
      <c r="K49" s="24" t="s">
        <v>65</v>
      </c>
      <c r="L49" s="24">
        <v>24374</v>
      </c>
      <c r="M49" s="24">
        <v>24.373999999999999</v>
      </c>
      <c r="N49" s="24" t="s">
        <v>66</v>
      </c>
      <c r="O49" s="24">
        <v>27</v>
      </c>
      <c r="P49" s="24">
        <v>2830</v>
      </c>
      <c r="Q49" s="24">
        <v>2.83</v>
      </c>
      <c r="R49" s="24" t="s">
        <v>67</v>
      </c>
      <c r="S49" s="24" t="s">
        <v>76</v>
      </c>
      <c r="T49" s="24" t="s">
        <v>165</v>
      </c>
      <c r="U49" s="24" t="s">
        <v>85</v>
      </c>
    </row>
    <row r="50" spans="1:21" ht="26" x14ac:dyDescent="0.2">
      <c r="A50" s="23">
        <v>49</v>
      </c>
      <c r="B50" s="23" t="s">
        <v>166</v>
      </c>
      <c r="C50" s="23" t="s">
        <v>57</v>
      </c>
      <c r="D50" s="23" t="s">
        <v>58</v>
      </c>
      <c r="E50" s="23" t="s">
        <v>59</v>
      </c>
      <c r="F50" s="23" t="s">
        <v>60</v>
      </c>
      <c r="G50" s="23" t="s">
        <v>61</v>
      </c>
      <c r="H50" s="23" t="s">
        <v>167</v>
      </c>
      <c r="I50" s="23" t="s">
        <v>168</v>
      </c>
      <c r="J50" s="23" t="s">
        <v>64</v>
      </c>
      <c r="K50" s="23" t="s">
        <v>65</v>
      </c>
      <c r="L50" s="23">
        <v>28779</v>
      </c>
      <c r="M50" s="23">
        <v>28.779</v>
      </c>
      <c r="N50" s="23" t="s">
        <v>66</v>
      </c>
      <c r="O50" s="23">
        <v>29</v>
      </c>
      <c r="P50" s="23">
        <v>3341</v>
      </c>
      <c r="Q50" s="23">
        <v>3.3410000000000002</v>
      </c>
      <c r="R50" s="23" t="s">
        <v>67</v>
      </c>
      <c r="S50" s="23" t="s">
        <v>101</v>
      </c>
      <c r="T50" s="23" t="s">
        <v>77</v>
      </c>
      <c r="U50" s="23" t="s">
        <v>70</v>
      </c>
    </row>
    <row r="51" spans="1:21" x14ac:dyDescent="0.2">
      <c r="A51" s="24">
        <v>50</v>
      </c>
      <c r="B51" s="24" t="s">
        <v>169</v>
      </c>
      <c r="C51" s="24" t="s">
        <v>57</v>
      </c>
      <c r="D51" s="24" t="s">
        <v>58</v>
      </c>
      <c r="E51" s="24" t="s">
        <v>59</v>
      </c>
      <c r="F51" s="24" t="s">
        <v>60</v>
      </c>
      <c r="G51" s="24" t="s">
        <v>61</v>
      </c>
      <c r="H51" s="24" t="s">
        <v>65</v>
      </c>
      <c r="I51" s="24" t="s">
        <v>84</v>
      </c>
      <c r="J51" s="24" t="s">
        <v>64</v>
      </c>
      <c r="K51" s="24" t="s">
        <v>64</v>
      </c>
      <c r="L51" s="24">
        <v>118653</v>
      </c>
      <c r="M51" s="24">
        <v>118.65300000000001</v>
      </c>
      <c r="N51" s="24" t="s">
        <v>156</v>
      </c>
      <c r="O51" s="24">
        <v>91</v>
      </c>
      <c r="P51" s="24">
        <v>13776</v>
      </c>
      <c r="Q51" s="24">
        <v>13.776</v>
      </c>
      <c r="R51" s="24" t="s">
        <v>75</v>
      </c>
      <c r="S51" s="24" t="s">
        <v>90</v>
      </c>
      <c r="T51" s="24" t="s">
        <v>77</v>
      </c>
      <c r="U51" s="24" t="s">
        <v>84</v>
      </c>
    </row>
    <row r="52" spans="1:21" ht="26" x14ac:dyDescent="0.2">
      <c r="A52" s="23">
        <v>51</v>
      </c>
      <c r="B52" s="23" t="s">
        <v>170</v>
      </c>
      <c r="C52" s="23" t="s">
        <v>57</v>
      </c>
      <c r="D52" s="23" t="s">
        <v>58</v>
      </c>
      <c r="E52" s="23" t="s">
        <v>87</v>
      </c>
      <c r="F52" s="23" t="s">
        <v>88</v>
      </c>
      <c r="G52" s="23" t="s">
        <v>89</v>
      </c>
      <c r="H52" s="23" t="s">
        <v>82</v>
      </c>
      <c r="I52" s="23" t="s">
        <v>83</v>
      </c>
      <c r="J52" s="23" t="s">
        <v>64</v>
      </c>
      <c r="K52" s="23" t="s">
        <v>65</v>
      </c>
      <c r="L52" s="23">
        <v>13755</v>
      </c>
      <c r="M52" s="23">
        <v>13.755000000000001</v>
      </c>
      <c r="N52" s="23" t="s">
        <v>74</v>
      </c>
      <c r="O52" s="23">
        <v>15</v>
      </c>
      <c r="P52" s="23">
        <v>3421</v>
      </c>
      <c r="Q52" s="23">
        <v>3.4209999999999998</v>
      </c>
      <c r="R52" s="23" t="s">
        <v>67</v>
      </c>
      <c r="S52" s="23" t="s">
        <v>76</v>
      </c>
      <c r="T52" s="23" t="s">
        <v>77</v>
      </c>
      <c r="U52" s="23" t="s">
        <v>70</v>
      </c>
    </row>
    <row r="53" spans="1:21" x14ac:dyDescent="0.2">
      <c r="A53" s="24">
        <v>52</v>
      </c>
      <c r="B53" s="24" t="s">
        <v>171</v>
      </c>
      <c r="C53" s="24" t="s">
        <v>57</v>
      </c>
      <c r="D53" s="24" t="s">
        <v>58</v>
      </c>
      <c r="E53" s="24" t="s">
        <v>72</v>
      </c>
      <c r="F53" s="24" t="s">
        <v>73</v>
      </c>
      <c r="G53" s="24" t="s">
        <v>61</v>
      </c>
      <c r="H53" s="24" t="s">
        <v>65</v>
      </c>
      <c r="I53" s="24" t="s">
        <v>84</v>
      </c>
      <c r="J53" s="24" t="s">
        <v>64</v>
      </c>
      <c r="K53" s="24" t="s">
        <v>64</v>
      </c>
      <c r="L53" s="24">
        <v>97570</v>
      </c>
      <c r="M53" s="24">
        <v>97.57</v>
      </c>
      <c r="N53" s="24" t="s">
        <v>156</v>
      </c>
      <c r="O53" s="24">
        <v>82</v>
      </c>
      <c r="P53" s="24">
        <v>17787</v>
      </c>
      <c r="Q53" s="24">
        <v>17.786999999999999</v>
      </c>
      <c r="R53" s="24" t="s">
        <v>67</v>
      </c>
      <c r="S53" s="24" t="s">
        <v>101</v>
      </c>
      <c r="T53" s="24" t="s">
        <v>77</v>
      </c>
      <c r="U53" s="24" t="s">
        <v>84</v>
      </c>
    </row>
    <row r="54" spans="1:21" ht="26" x14ac:dyDescent="0.2">
      <c r="A54" s="23">
        <v>53</v>
      </c>
      <c r="B54" s="23" t="s">
        <v>172</v>
      </c>
      <c r="C54" s="23" t="s">
        <v>57</v>
      </c>
      <c r="D54" s="23" t="s">
        <v>58</v>
      </c>
      <c r="E54" s="23" t="s">
        <v>79</v>
      </c>
      <c r="F54" s="23" t="s">
        <v>80</v>
      </c>
      <c r="G54" s="23" t="s">
        <v>81</v>
      </c>
      <c r="H54" s="23" t="s">
        <v>82</v>
      </c>
      <c r="I54" s="23" t="s">
        <v>83</v>
      </c>
      <c r="J54" s="23" t="s">
        <v>64</v>
      </c>
      <c r="K54" s="23" t="s">
        <v>65</v>
      </c>
      <c r="L54" s="23">
        <v>14204</v>
      </c>
      <c r="M54" s="23">
        <v>14.204000000000001</v>
      </c>
      <c r="N54" s="23" t="s">
        <v>74</v>
      </c>
      <c r="O54" s="23">
        <v>195</v>
      </c>
      <c r="P54" s="23">
        <v>0</v>
      </c>
      <c r="Q54" s="23">
        <v>0</v>
      </c>
      <c r="R54" s="23" t="s">
        <v>67</v>
      </c>
      <c r="S54" s="23" t="s">
        <v>97</v>
      </c>
      <c r="T54" s="23" t="s">
        <v>84</v>
      </c>
      <c r="U54" s="23" t="s">
        <v>70</v>
      </c>
    </row>
    <row r="55" spans="1:21" x14ac:dyDescent="0.2">
      <c r="A55" s="24">
        <v>54</v>
      </c>
      <c r="B55" s="24" t="s">
        <v>173</v>
      </c>
      <c r="C55" s="24" t="s">
        <v>57</v>
      </c>
      <c r="D55" s="24" t="s">
        <v>58</v>
      </c>
      <c r="E55" s="24" t="s">
        <v>103</v>
      </c>
      <c r="F55" s="24" t="s">
        <v>104</v>
      </c>
      <c r="G55" s="24" t="s">
        <v>105</v>
      </c>
      <c r="H55" s="24" t="s">
        <v>174</v>
      </c>
      <c r="I55" s="24" t="s">
        <v>175</v>
      </c>
      <c r="J55" s="24" t="s">
        <v>64</v>
      </c>
      <c r="K55" s="24" t="s">
        <v>174</v>
      </c>
      <c r="L55" s="24">
        <v>409284</v>
      </c>
      <c r="M55" s="24">
        <v>409.28399999999999</v>
      </c>
      <c r="N55" s="24" t="s">
        <v>107</v>
      </c>
      <c r="O55" s="24">
        <v>278</v>
      </c>
      <c r="P55" s="24">
        <v>4543</v>
      </c>
      <c r="Q55" s="24">
        <v>4.5430000000000001</v>
      </c>
      <c r="R55" s="24" t="s">
        <v>67</v>
      </c>
      <c r="S55" s="24" t="s">
        <v>101</v>
      </c>
      <c r="T55" s="24" t="s">
        <v>84</v>
      </c>
      <c r="U55" s="24" t="s">
        <v>128</v>
      </c>
    </row>
    <row r="56" spans="1:21" ht="26" x14ac:dyDescent="0.2">
      <c r="A56" s="23">
        <v>55</v>
      </c>
      <c r="B56" s="23" t="s">
        <v>176</v>
      </c>
      <c r="C56" s="23" t="s">
        <v>57</v>
      </c>
      <c r="D56" s="23" t="s">
        <v>58</v>
      </c>
      <c r="E56" s="23" t="s">
        <v>103</v>
      </c>
      <c r="F56" s="23" t="s">
        <v>104</v>
      </c>
      <c r="G56" s="23" t="s">
        <v>105</v>
      </c>
      <c r="H56" s="23" t="s">
        <v>177</v>
      </c>
      <c r="I56" s="23" t="s">
        <v>178</v>
      </c>
      <c r="J56" s="23" t="s">
        <v>64</v>
      </c>
      <c r="K56" s="23" t="s">
        <v>179</v>
      </c>
      <c r="L56" s="23">
        <v>183772</v>
      </c>
      <c r="M56" s="23">
        <v>183.77199999999999</v>
      </c>
      <c r="N56" s="23" t="s">
        <v>180</v>
      </c>
      <c r="O56" s="23">
        <v>230</v>
      </c>
      <c r="P56" s="23">
        <v>2040</v>
      </c>
      <c r="Q56" s="23">
        <v>2.04</v>
      </c>
      <c r="R56" s="23" t="s">
        <v>67</v>
      </c>
      <c r="S56" s="23" t="s">
        <v>101</v>
      </c>
      <c r="T56" s="23" t="s">
        <v>84</v>
      </c>
      <c r="U56" s="23" t="s">
        <v>70</v>
      </c>
    </row>
    <row r="57" spans="1:21" x14ac:dyDescent="0.2">
      <c r="A57" s="24">
        <v>56</v>
      </c>
      <c r="B57" s="24" t="s">
        <v>181</v>
      </c>
      <c r="C57" s="24" t="s">
        <v>57</v>
      </c>
      <c r="D57" s="24" t="s">
        <v>58</v>
      </c>
      <c r="E57" s="24" t="s">
        <v>59</v>
      </c>
      <c r="F57" s="24" t="s">
        <v>60</v>
      </c>
      <c r="G57" s="24" t="s">
        <v>61</v>
      </c>
      <c r="H57" s="24" t="s">
        <v>65</v>
      </c>
      <c r="I57" s="24" t="s">
        <v>84</v>
      </c>
      <c r="J57" s="24" t="s">
        <v>64</v>
      </c>
      <c r="K57" s="24" t="s">
        <v>64</v>
      </c>
      <c r="L57" s="24">
        <v>97570</v>
      </c>
      <c r="M57" s="24">
        <v>97.57</v>
      </c>
      <c r="N57" s="24" t="s">
        <v>156</v>
      </c>
      <c r="O57" s="24">
        <v>82</v>
      </c>
      <c r="P57" s="24">
        <v>11328</v>
      </c>
      <c r="Q57" s="24">
        <v>11.327999999999999</v>
      </c>
      <c r="R57" s="24" t="s">
        <v>75</v>
      </c>
      <c r="S57" s="24" t="s">
        <v>76</v>
      </c>
      <c r="T57" s="24" t="s">
        <v>77</v>
      </c>
      <c r="U57" s="24" t="s">
        <v>84</v>
      </c>
    </row>
    <row r="58" spans="1:21" ht="26" x14ac:dyDescent="0.2">
      <c r="A58" s="23">
        <v>57</v>
      </c>
      <c r="B58" s="23" t="s">
        <v>182</v>
      </c>
      <c r="C58" s="23" t="s">
        <v>57</v>
      </c>
      <c r="D58" s="23" t="s">
        <v>58</v>
      </c>
      <c r="E58" s="23" t="s">
        <v>87</v>
      </c>
      <c r="F58" s="23" t="s">
        <v>88</v>
      </c>
      <c r="G58" s="23" t="s">
        <v>89</v>
      </c>
      <c r="H58" s="23" t="s">
        <v>183</v>
      </c>
      <c r="I58" s="23" t="s">
        <v>184</v>
      </c>
      <c r="J58" s="23" t="s">
        <v>64</v>
      </c>
      <c r="K58" s="23" t="s">
        <v>65</v>
      </c>
      <c r="L58" s="23">
        <v>40783</v>
      </c>
      <c r="M58" s="23">
        <v>40.783000000000001</v>
      </c>
      <c r="N58" s="23" t="s">
        <v>66</v>
      </c>
      <c r="O58" s="23">
        <v>38</v>
      </c>
      <c r="P58" s="23">
        <v>10143</v>
      </c>
      <c r="Q58" s="23">
        <v>10.143000000000001</v>
      </c>
      <c r="R58" s="23" t="s">
        <v>75</v>
      </c>
      <c r="S58" s="23" t="s">
        <v>101</v>
      </c>
      <c r="T58" s="23" t="s">
        <v>77</v>
      </c>
      <c r="U58" s="23" t="s">
        <v>70</v>
      </c>
    </row>
    <row r="59" spans="1:21" x14ac:dyDescent="0.2">
      <c r="A59" s="24">
        <v>58</v>
      </c>
      <c r="B59" s="24" t="s">
        <v>185</v>
      </c>
      <c r="C59" s="24" t="s">
        <v>57</v>
      </c>
      <c r="D59" s="24" t="s">
        <v>58</v>
      </c>
      <c r="E59" s="24" t="s">
        <v>103</v>
      </c>
      <c r="F59" s="24" t="s">
        <v>104</v>
      </c>
      <c r="G59" s="24" t="s">
        <v>105</v>
      </c>
      <c r="H59" s="24" t="s">
        <v>186</v>
      </c>
      <c r="I59" s="24" t="s">
        <v>187</v>
      </c>
      <c r="J59" s="24" t="s">
        <v>64</v>
      </c>
      <c r="K59" s="24" t="s">
        <v>65</v>
      </c>
      <c r="L59" s="24">
        <v>34962</v>
      </c>
      <c r="M59" s="24">
        <v>34.962000000000003</v>
      </c>
      <c r="N59" s="24" t="s">
        <v>66</v>
      </c>
      <c r="O59" s="24">
        <v>68</v>
      </c>
      <c r="P59" s="24">
        <v>388</v>
      </c>
      <c r="Q59" s="24">
        <v>0.38800000000000001</v>
      </c>
      <c r="R59" s="24" t="s">
        <v>67</v>
      </c>
      <c r="S59" s="24" t="s">
        <v>101</v>
      </c>
      <c r="T59" s="24" t="s">
        <v>84</v>
      </c>
      <c r="U59" s="24" t="s">
        <v>128</v>
      </c>
    </row>
    <row r="60" spans="1:21" x14ac:dyDescent="0.2">
      <c r="A60" s="23">
        <v>59</v>
      </c>
      <c r="B60" s="23" t="s">
        <v>188</v>
      </c>
      <c r="C60" s="23" t="s">
        <v>57</v>
      </c>
      <c r="D60" s="23" t="s">
        <v>58</v>
      </c>
      <c r="E60" s="23" t="s">
        <v>103</v>
      </c>
      <c r="F60" s="23" t="s">
        <v>104</v>
      </c>
      <c r="G60" s="23" t="s">
        <v>105</v>
      </c>
      <c r="H60" s="23" t="s">
        <v>65</v>
      </c>
      <c r="I60" s="23" t="s">
        <v>84</v>
      </c>
      <c r="J60" s="23" t="s">
        <v>64</v>
      </c>
      <c r="K60" s="23" t="s">
        <v>64</v>
      </c>
      <c r="L60" s="23">
        <v>99196</v>
      </c>
      <c r="M60" s="23">
        <v>99.195999999999998</v>
      </c>
      <c r="N60" s="23" t="s">
        <v>156</v>
      </c>
      <c r="O60" s="23">
        <v>105</v>
      </c>
      <c r="P60" s="23">
        <v>1101</v>
      </c>
      <c r="Q60" s="23">
        <v>1.101</v>
      </c>
      <c r="R60" s="23" t="s">
        <v>75</v>
      </c>
      <c r="S60" s="23" t="s">
        <v>101</v>
      </c>
      <c r="T60" s="23" t="s">
        <v>84</v>
      </c>
      <c r="U60" s="23" t="s">
        <v>84</v>
      </c>
    </row>
    <row r="61" spans="1:21" ht="26" x14ac:dyDescent="0.2">
      <c r="A61" s="24">
        <v>60</v>
      </c>
      <c r="B61" s="24" t="s">
        <v>189</v>
      </c>
      <c r="C61" s="24" t="s">
        <v>57</v>
      </c>
      <c r="D61" s="24" t="s">
        <v>58</v>
      </c>
      <c r="E61" s="24" t="s">
        <v>59</v>
      </c>
      <c r="F61" s="24" t="s">
        <v>60</v>
      </c>
      <c r="G61" s="24" t="s">
        <v>61</v>
      </c>
      <c r="H61" s="24" t="s">
        <v>65</v>
      </c>
      <c r="I61" s="24" t="s">
        <v>190</v>
      </c>
      <c r="J61" s="24" t="s">
        <v>64</v>
      </c>
      <c r="K61" s="24" t="s">
        <v>65</v>
      </c>
      <c r="L61" s="24">
        <v>98241</v>
      </c>
      <c r="M61" s="24">
        <v>98.241</v>
      </c>
      <c r="N61" s="24" t="s">
        <v>156</v>
      </c>
      <c r="O61" s="24">
        <v>84</v>
      </c>
      <c r="P61" s="24">
        <v>11406</v>
      </c>
      <c r="Q61" s="24">
        <v>11.406000000000001</v>
      </c>
      <c r="R61" s="24" t="s">
        <v>67</v>
      </c>
      <c r="S61" s="24" t="s">
        <v>97</v>
      </c>
      <c r="T61" s="24" t="s">
        <v>77</v>
      </c>
      <c r="U61" s="24" t="s">
        <v>70</v>
      </c>
    </row>
    <row r="62" spans="1:21" x14ac:dyDescent="0.2">
      <c r="A62" s="23">
        <v>61</v>
      </c>
      <c r="B62" s="23" t="s">
        <v>191</v>
      </c>
      <c r="C62" s="23" t="s">
        <v>57</v>
      </c>
      <c r="D62" s="23" t="s">
        <v>58</v>
      </c>
      <c r="E62" s="23" t="s">
        <v>59</v>
      </c>
      <c r="F62" s="23" t="s">
        <v>60</v>
      </c>
      <c r="G62" s="23" t="s">
        <v>61</v>
      </c>
      <c r="H62" s="23" t="s">
        <v>65</v>
      </c>
      <c r="I62" s="23" t="s">
        <v>84</v>
      </c>
      <c r="J62" s="23" t="s">
        <v>64</v>
      </c>
      <c r="K62" s="23" t="s">
        <v>64</v>
      </c>
      <c r="L62" s="23">
        <v>97570</v>
      </c>
      <c r="M62" s="23">
        <v>97.57</v>
      </c>
      <c r="N62" s="23" t="s">
        <v>156</v>
      </c>
      <c r="O62" s="23">
        <v>82</v>
      </c>
      <c r="P62" s="23">
        <v>11328</v>
      </c>
      <c r="Q62" s="23">
        <v>11.327999999999999</v>
      </c>
      <c r="R62" s="23" t="s">
        <v>75</v>
      </c>
      <c r="S62" s="23" t="s">
        <v>76</v>
      </c>
      <c r="T62" s="23" t="s">
        <v>77</v>
      </c>
      <c r="U62" s="23" t="s">
        <v>84</v>
      </c>
    </row>
    <row r="63" spans="1:21" x14ac:dyDescent="0.2">
      <c r="A63" s="24">
        <v>62</v>
      </c>
      <c r="B63" s="24" t="s">
        <v>192</v>
      </c>
      <c r="C63" s="24" t="s">
        <v>57</v>
      </c>
      <c r="D63" s="24" t="s">
        <v>58</v>
      </c>
      <c r="E63" s="24" t="s">
        <v>103</v>
      </c>
      <c r="F63" s="24" t="s">
        <v>104</v>
      </c>
      <c r="G63" s="24" t="s">
        <v>105</v>
      </c>
      <c r="H63" s="24" t="s">
        <v>193</v>
      </c>
      <c r="I63" s="24" t="s">
        <v>84</v>
      </c>
      <c r="J63" s="24" t="s">
        <v>64</v>
      </c>
      <c r="K63" s="24" t="s">
        <v>64</v>
      </c>
      <c r="L63" s="24">
        <v>145662</v>
      </c>
      <c r="M63" s="24">
        <v>145.66200000000001</v>
      </c>
      <c r="N63" s="24" t="s">
        <v>156</v>
      </c>
      <c r="O63" s="24">
        <v>172</v>
      </c>
      <c r="P63" s="24">
        <v>1617</v>
      </c>
      <c r="Q63" s="24">
        <v>1.617</v>
      </c>
      <c r="R63" s="24" t="s">
        <v>75</v>
      </c>
      <c r="S63" s="24" t="s">
        <v>76</v>
      </c>
      <c r="T63" s="24" t="s">
        <v>84</v>
      </c>
      <c r="U63" s="24" t="s">
        <v>84</v>
      </c>
    </row>
    <row r="64" spans="1:21" ht="26" x14ac:dyDescent="0.2">
      <c r="A64" s="23">
        <v>63</v>
      </c>
      <c r="B64" s="23" t="s">
        <v>194</v>
      </c>
      <c r="C64" s="23" t="s">
        <v>57</v>
      </c>
      <c r="D64" s="23" t="s">
        <v>58</v>
      </c>
      <c r="E64" s="23" t="s">
        <v>59</v>
      </c>
      <c r="F64" s="23" t="s">
        <v>60</v>
      </c>
      <c r="G64" s="23" t="s">
        <v>61</v>
      </c>
      <c r="H64" s="23" t="s">
        <v>62</v>
      </c>
      <c r="I64" s="23" t="s">
        <v>63</v>
      </c>
      <c r="J64" s="23" t="s">
        <v>64</v>
      </c>
      <c r="K64" s="23" t="s">
        <v>65</v>
      </c>
      <c r="L64" s="23">
        <v>20610</v>
      </c>
      <c r="M64" s="23">
        <v>20.61</v>
      </c>
      <c r="N64" s="23" t="s">
        <v>66</v>
      </c>
      <c r="O64" s="23">
        <v>22</v>
      </c>
      <c r="P64" s="23">
        <v>2393</v>
      </c>
      <c r="Q64" s="23">
        <v>2.3929999999999998</v>
      </c>
      <c r="R64" s="23" t="s">
        <v>67</v>
      </c>
      <c r="S64" s="23" t="s">
        <v>97</v>
      </c>
      <c r="T64" s="23" t="s">
        <v>69</v>
      </c>
      <c r="U64" s="23" t="s">
        <v>70</v>
      </c>
    </row>
    <row r="65" spans="1:21" ht="26" x14ac:dyDescent="0.2">
      <c r="A65" s="24">
        <v>64</v>
      </c>
      <c r="B65" s="24" t="s">
        <v>195</v>
      </c>
      <c r="C65" s="24" t="s">
        <v>57</v>
      </c>
      <c r="D65" s="24" t="s">
        <v>58</v>
      </c>
      <c r="E65" s="24" t="s">
        <v>79</v>
      </c>
      <c r="F65" s="24" t="s">
        <v>80</v>
      </c>
      <c r="G65" s="24" t="s">
        <v>81</v>
      </c>
      <c r="H65" s="24" t="s">
        <v>82</v>
      </c>
      <c r="I65" s="24" t="s">
        <v>83</v>
      </c>
      <c r="J65" s="24" t="s">
        <v>64</v>
      </c>
      <c r="K65" s="24" t="s">
        <v>65</v>
      </c>
      <c r="L65" s="24">
        <v>14115</v>
      </c>
      <c r="M65" s="24">
        <v>14.115</v>
      </c>
      <c r="N65" s="24" t="s">
        <v>74</v>
      </c>
      <c r="O65" s="24">
        <v>194</v>
      </c>
      <c r="P65" s="24">
        <v>0</v>
      </c>
      <c r="Q65" s="24">
        <v>0</v>
      </c>
      <c r="R65" s="24" t="s">
        <v>67</v>
      </c>
      <c r="S65" s="24" t="s">
        <v>97</v>
      </c>
      <c r="T65" s="24" t="s">
        <v>84</v>
      </c>
      <c r="U65" s="24" t="s">
        <v>70</v>
      </c>
    </row>
    <row r="66" spans="1:21" ht="26" x14ac:dyDescent="0.2">
      <c r="A66" s="23">
        <v>65</v>
      </c>
      <c r="B66" s="23" t="s">
        <v>196</v>
      </c>
      <c r="C66" s="23" t="s">
        <v>57</v>
      </c>
      <c r="D66" s="23" t="s">
        <v>58</v>
      </c>
      <c r="E66" s="23" t="s">
        <v>197</v>
      </c>
      <c r="F66" s="23" t="s">
        <v>198</v>
      </c>
      <c r="G66" s="23" t="s">
        <v>81</v>
      </c>
      <c r="H66" s="23" t="s">
        <v>82</v>
      </c>
      <c r="I66" s="23" t="s">
        <v>83</v>
      </c>
      <c r="J66" s="23" t="s">
        <v>64</v>
      </c>
      <c r="K66" s="23" t="s">
        <v>65</v>
      </c>
      <c r="L66" s="23">
        <v>15712</v>
      </c>
      <c r="M66" s="23">
        <v>15.712</v>
      </c>
      <c r="N66" s="23" t="s">
        <v>74</v>
      </c>
      <c r="O66" s="23">
        <v>54</v>
      </c>
      <c r="P66" s="23">
        <v>0</v>
      </c>
      <c r="Q66" s="23">
        <v>0</v>
      </c>
      <c r="R66" s="23" t="s">
        <v>75</v>
      </c>
      <c r="S66" s="23" t="s">
        <v>101</v>
      </c>
      <c r="T66" s="23" t="s">
        <v>84</v>
      </c>
      <c r="U66" s="23" t="s">
        <v>70</v>
      </c>
    </row>
    <row r="67" spans="1:21" ht="65" x14ac:dyDescent="0.2">
      <c r="A67" s="24">
        <v>66</v>
      </c>
      <c r="B67" s="24" t="s">
        <v>199</v>
      </c>
      <c r="C67" s="24" t="s">
        <v>57</v>
      </c>
      <c r="D67" s="24" t="s">
        <v>58</v>
      </c>
      <c r="E67" s="24" t="s">
        <v>109</v>
      </c>
      <c r="F67" s="24" t="s">
        <v>110</v>
      </c>
      <c r="G67" s="24" t="s">
        <v>105</v>
      </c>
      <c r="H67" s="24" t="s">
        <v>200</v>
      </c>
      <c r="I67" s="24" t="s">
        <v>201</v>
      </c>
      <c r="J67" s="24" t="s">
        <v>155</v>
      </c>
      <c r="K67" s="24" t="s">
        <v>155</v>
      </c>
      <c r="L67" s="24">
        <v>65700</v>
      </c>
      <c r="M67" s="24">
        <v>65.7</v>
      </c>
      <c r="N67" s="24" t="s">
        <v>156</v>
      </c>
      <c r="O67" s="24">
        <v>78</v>
      </c>
      <c r="P67" s="24">
        <v>3627</v>
      </c>
      <c r="Q67" s="24">
        <v>3.6269999999999998</v>
      </c>
      <c r="R67" s="24" t="s">
        <v>75</v>
      </c>
      <c r="S67" s="24" t="s">
        <v>101</v>
      </c>
      <c r="T67" s="24" t="s">
        <v>84</v>
      </c>
      <c r="U67" s="24" t="s">
        <v>202</v>
      </c>
    </row>
    <row r="68" spans="1:21" x14ac:dyDescent="0.2">
      <c r="A68" s="23">
        <v>67</v>
      </c>
      <c r="B68" s="23" t="s">
        <v>203</v>
      </c>
      <c r="C68" s="23" t="s">
        <v>57</v>
      </c>
      <c r="D68" s="23" t="s">
        <v>58</v>
      </c>
      <c r="E68" s="23" t="s">
        <v>87</v>
      </c>
      <c r="F68" s="23" t="s">
        <v>88</v>
      </c>
      <c r="G68" s="23" t="s">
        <v>89</v>
      </c>
      <c r="H68" s="23" t="s">
        <v>65</v>
      </c>
      <c r="I68" s="23" t="s">
        <v>84</v>
      </c>
      <c r="J68" s="23" t="s">
        <v>64</v>
      </c>
      <c r="K68" s="23" t="s">
        <v>64</v>
      </c>
      <c r="L68" s="23">
        <v>97570</v>
      </c>
      <c r="M68" s="23">
        <v>97.57</v>
      </c>
      <c r="N68" s="23" t="s">
        <v>156</v>
      </c>
      <c r="O68" s="23">
        <v>82</v>
      </c>
      <c r="P68" s="23">
        <v>24266</v>
      </c>
      <c r="Q68" s="23">
        <v>24.265999999999998</v>
      </c>
      <c r="R68" s="23" t="s">
        <v>75</v>
      </c>
      <c r="S68" s="23" t="s">
        <v>115</v>
      </c>
      <c r="T68" s="23" t="s">
        <v>77</v>
      </c>
      <c r="U68" s="23" t="s">
        <v>84</v>
      </c>
    </row>
    <row r="69" spans="1:21" ht="26" x14ac:dyDescent="0.2">
      <c r="A69" s="24">
        <v>68</v>
      </c>
      <c r="B69" s="24" t="s">
        <v>204</v>
      </c>
      <c r="C69" s="24" t="s">
        <v>57</v>
      </c>
      <c r="D69" s="24" t="s">
        <v>84</v>
      </c>
      <c r="E69" s="24" t="s">
        <v>79</v>
      </c>
      <c r="F69" s="24" t="s">
        <v>80</v>
      </c>
      <c r="G69" s="24" t="s">
        <v>81</v>
      </c>
      <c r="H69" s="24" t="s">
        <v>82</v>
      </c>
      <c r="I69" s="24" t="s">
        <v>83</v>
      </c>
      <c r="J69" s="24" t="s">
        <v>64</v>
      </c>
      <c r="K69" s="24" t="s">
        <v>65</v>
      </c>
      <c r="L69" s="24">
        <v>17332</v>
      </c>
      <c r="M69" s="24">
        <v>17.332000000000001</v>
      </c>
      <c r="N69" s="24" t="s">
        <v>74</v>
      </c>
      <c r="O69" s="24">
        <v>237</v>
      </c>
      <c r="P69" s="24">
        <v>0</v>
      </c>
      <c r="Q69" s="24">
        <v>0</v>
      </c>
      <c r="R69" s="24"/>
      <c r="S69" s="24" t="s">
        <v>84</v>
      </c>
      <c r="T69" s="24" t="s">
        <v>84</v>
      </c>
      <c r="U69" s="24" t="s">
        <v>84</v>
      </c>
    </row>
    <row r="70" spans="1:21" x14ac:dyDescent="0.2">
      <c r="A70" s="23">
        <v>69</v>
      </c>
      <c r="B70" s="23" t="s">
        <v>205</v>
      </c>
      <c r="C70" s="23" t="s">
        <v>57</v>
      </c>
      <c r="D70" s="23" t="s">
        <v>58</v>
      </c>
      <c r="E70" s="23" t="s">
        <v>103</v>
      </c>
      <c r="F70" s="23" t="s">
        <v>104</v>
      </c>
      <c r="G70" s="23" t="s">
        <v>105</v>
      </c>
      <c r="H70" s="23" t="s">
        <v>206</v>
      </c>
      <c r="I70" s="23" t="s">
        <v>84</v>
      </c>
      <c r="J70" s="23" t="s">
        <v>64</v>
      </c>
      <c r="K70" s="23" t="s">
        <v>64</v>
      </c>
      <c r="L70" s="23">
        <v>152032</v>
      </c>
      <c r="M70" s="23">
        <v>152.03200000000001</v>
      </c>
      <c r="N70" s="23" t="s">
        <v>180</v>
      </c>
      <c r="O70" s="23">
        <v>139</v>
      </c>
      <c r="P70" s="23">
        <v>1688</v>
      </c>
      <c r="Q70" s="23">
        <v>1.6879999999999999</v>
      </c>
      <c r="R70" s="23" t="s">
        <v>67</v>
      </c>
      <c r="S70" s="23" t="s">
        <v>97</v>
      </c>
      <c r="T70" s="23" t="s">
        <v>84</v>
      </c>
      <c r="U70" s="23" t="s">
        <v>84</v>
      </c>
    </row>
    <row r="71" spans="1:21" ht="26" x14ac:dyDescent="0.2">
      <c r="A71" s="24">
        <v>70</v>
      </c>
      <c r="B71" s="24" t="s">
        <v>207</v>
      </c>
      <c r="C71" s="24" t="s">
        <v>57</v>
      </c>
      <c r="D71" s="24" t="s">
        <v>58</v>
      </c>
      <c r="E71" s="24" t="s">
        <v>103</v>
      </c>
      <c r="F71" s="24" t="s">
        <v>104</v>
      </c>
      <c r="G71" s="24" t="s">
        <v>105</v>
      </c>
      <c r="H71" s="24" t="s">
        <v>208</v>
      </c>
      <c r="I71" s="24" t="s">
        <v>209</v>
      </c>
      <c r="J71" s="24" t="s">
        <v>64</v>
      </c>
      <c r="K71" s="24" t="s">
        <v>65</v>
      </c>
      <c r="L71" s="24">
        <v>57406</v>
      </c>
      <c r="M71" s="24">
        <v>57.405999999999999</v>
      </c>
      <c r="N71" s="24" t="s">
        <v>156</v>
      </c>
      <c r="O71" s="24">
        <v>109</v>
      </c>
      <c r="P71" s="24">
        <v>637</v>
      </c>
      <c r="Q71" s="24">
        <v>0.63700000000000001</v>
      </c>
      <c r="R71" s="24" t="s">
        <v>67</v>
      </c>
      <c r="S71" s="24" t="s">
        <v>76</v>
      </c>
      <c r="T71" s="24" t="s">
        <v>84</v>
      </c>
      <c r="U71" s="24" t="s">
        <v>85</v>
      </c>
    </row>
    <row r="72" spans="1:21" ht="26" x14ac:dyDescent="0.2">
      <c r="A72" s="23">
        <v>71</v>
      </c>
      <c r="B72" s="23" t="s">
        <v>210</v>
      </c>
      <c r="C72" s="23" t="s">
        <v>57</v>
      </c>
      <c r="D72" s="23" t="s">
        <v>58</v>
      </c>
      <c r="E72" s="23" t="s">
        <v>87</v>
      </c>
      <c r="F72" s="23" t="s">
        <v>88</v>
      </c>
      <c r="G72" s="23" t="s">
        <v>89</v>
      </c>
      <c r="H72" s="23" t="s">
        <v>162</v>
      </c>
      <c r="I72" s="23" t="s">
        <v>84</v>
      </c>
      <c r="J72" s="23" t="s">
        <v>64</v>
      </c>
      <c r="K72" s="23" t="s">
        <v>64</v>
      </c>
      <c r="L72" s="23">
        <v>6199</v>
      </c>
      <c r="M72" s="23">
        <v>6.1989999999999998</v>
      </c>
      <c r="N72" s="23" t="s">
        <v>74</v>
      </c>
      <c r="O72" s="23">
        <v>9</v>
      </c>
      <c r="P72" s="23">
        <v>1542</v>
      </c>
      <c r="Q72" s="23">
        <v>1.542</v>
      </c>
      <c r="R72" s="23" t="s">
        <v>75</v>
      </c>
      <c r="S72" s="23" t="s">
        <v>101</v>
      </c>
      <c r="T72" s="23" t="s">
        <v>77</v>
      </c>
      <c r="U72" s="23" t="s">
        <v>84</v>
      </c>
    </row>
    <row r="73" spans="1:21" x14ac:dyDescent="0.2">
      <c r="A73" s="24">
        <v>72</v>
      </c>
      <c r="B73" s="24" t="s">
        <v>211</v>
      </c>
      <c r="C73" s="24" t="s">
        <v>57</v>
      </c>
      <c r="D73" s="24" t="s">
        <v>58</v>
      </c>
      <c r="E73" s="24" t="s">
        <v>103</v>
      </c>
      <c r="F73" s="24" t="s">
        <v>104</v>
      </c>
      <c r="G73" s="24" t="s">
        <v>105</v>
      </c>
      <c r="H73" s="24" t="s">
        <v>212</v>
      </c>
      <c r="I73" s="24" t="s">
        <v>84</v>
      </c>
      <c r="J73" s="24" t="s">
        <v>64</v>
      </c>
      <c r="K73" s="24" t="s">
        <v>64</v>
      </c>
      <c r="L73" s="24">
        <v>47024</v>
      </c>
      <c r="M73" s="24">
        <v>47.024000000000001</v>
      </c>
      <c r="N73" s="24" t="s">
        <v>66</v>
      </c>
      <c r="O73" s="24">
        <v>55</v>
      </c>
      <c r="P73" s="24">
        <v>522</v>
      </c>
      <c r="Q73" s="24">
        <v>0.52200000000000002</v>
      </c>
      <c r="R73" s="24" t="s">
        <v>75</v>
      </c>
      <c r="S73" s="24" t="s">
        <v>97</v>
      </c>
      <c r="T73" s="24" t="s">
        <v>84</v>
      </c>
      <c r="U73" s="24" t="s">
        <v>84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5"/>
  <sheetViews>
    <sheetView showGridLines="0" workbookViewId="0">
      <selection activeCell="E3" sqref="E3"/>
    </sheetView>
  </sheetViews>
  <sheetFormatPr baseColWidth="10" defaultColWidth="8.83203125" defaultRowHeight="15" x14ac:dyDescent="0.2"/>
  <cols>
    <col min="1" max="1" width="3" customWidth="1"/>
    <col min="2" max="2" width="22" customWidth="1"/>
    <col min="3" max="4" width="12" customWidth="1"/>
    <col min="5" max="6" width="14" customWidth="1"/>
    <col min="7" max="8" width="3" customWidth="1"/>
    <col min="9" max="9" width="22" customWidth="1"/>
    <col min="10" max="13" width="12" customWidth="1"/>
  </cols>
  <sheetData>
    <row r="1" spans="2:13" ht="30" customHeight="1" x14ac:dyDescent="0.2">
      <c r="B1" s="35" t="s">
        <v>213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6" customHeight="1" x14ac:dyDescent="0.2"/>
    <row r="3" spans="2:13" ht="52" x14ac:dyDescent="0.2">
      <c r="B3" s="6" t="s">
        <v>11</v>
      </c>
      <c r="C3" s="7">
        <f>COUNTA(Daten_Anreise!$B$2:$B$200)</f>
        <v>72</v>
      </c>
      <c r="D3" s="6" t="s">
        <v>12</v>
      </c>
      <c r="E3" s="8">
        <f>'01_Übersicht'!$E$10</f>
        <v>0</v>
      </c>
      <c r="F3" s="6" t="s">
        <v>13</v>
      </c>
      <c r="G3" s="9">
        <f>IFERROR(E3/C3,"—")</f>
        <v>0</v>
      </c>
    </row>
    <row r="5" spans="2:13" ht="30" x14ac:dyDescent="0.2">
      <c r="B5" s="1" t="s">
        <v>214</v>
      </c>
      <c r="I5" s="1" t="s">
        <v>215</v>
      </c>
    </row>
    <row r="6" spans="2:13" x14ac:dyDescent="0.2">
      <c r="B6" s="22" t="s">
        <v>41</v>
      </c>
      <c r="C6" s="22" t="s">
        <v>22</v>
      </c>
      <c r="D6" s="22" t="s">
        <v>216</v>
      </c>
      <c r="E6" s="22" t="s">
        <v>217</v>
      </c>
      <c r="F6" s="22" t="s">
        <v>218</v>
      </c>
      <c r="I6" s="22" t="s">
        <v>219</v>
      </c>
      <c r="J6" s="22" t="s">
        <v>22</v>
      </c>
      <c r="K6" s="22" t="s">
        <v>216</v>
      </c>
      <c r="L6" s="22" t="s">
        <v>217</v>
      </c>
      <c r="M6" s="22" t="s">
        <v>218</v>
      </c>
    </row>
    <row r="7" spans="2:13" ht="18" customHeight="1" x14ac:dyDescent="0.2">
      <c r="B7" s="14" t="s">
        <v>81</v>
      </c>
      <c r="C7" s="3">
        <f>COUNTIF(Daten_Anreise!$G$2:$G$200,"Aktive Mobilität")</f>
        <v>10</v>
      </c>
      <c r="D7" s="25">
        <f>C7/C$11</f>
        <v>0.1388888888888889</v>
      </c>
      <c r="E7" s="12">
        <f>C7*G3</f>
        <v>0</v>
      </c>
      <c r="F7" s="25" t="e">
        <f>E7/E$11</f>
        <v>#DIV/0!</v>
      </c>
      <c r="I7" s="14" t="s">
        <v>80</v>
      </c>
      <c r="J7" s="3">
        <f>COUNTIF(Daten_Anreise!$E$2:$E$200,"foot")</f>
        <v>9</v>
      </c>
      <c r="K7" s="25">
        <f t="shared" ref="K7:K14" si="0">J7/J$15</f>
        <v>0.125</v>
      </c>
      <c r="L7" s="12">
        <f>J7*G3</f>
        <v>0</v>
      </c>
      <c r="M7" s="25" t="e">
        <f t="shared" ref="M7:M14" si="1">L7/L$15</f>
        <v>#DIV/0!</v>
      </c>
    </row>
    <row r="8" spans="2:13" ht="18" customHeight="1" x14ac:dyDescent="0.2">
      <c r="B8" s="26" t="s">
        <v>105</v>
      </c>
      <c r="C8" s="5">
        <f>COUNTIF(Daten_Anreise!$G$2:$G$200,"ÖV")</f>
        <v>12</v>
      </c>
      <c r="D8" s="27">
        <f>C8/C$11</f>
        <v>0.16666666666666666</v>
      </c>
      <c r="E8" s="28">
        <f>C8*G3</f>
        <v>0</v>
      </c>
      <c r="F8" s="27" t="e">
        <f>E8/E$11</f>
        <v>#DIV/0!</v>
      </c>
      <c r="I8" s="26" t="s">
        <v>198</v>
      </c>
      <c r="J8" s="5">
        <f>COUNTIF(Daten_Anreise!$E$2:$E$200,"bike")</f>
        <v>1</v>
      </c>
      <c r="K8" s="27">
        <f t="shared" si="0"/>
        <v>1.3888888888888888E-2</v>
      </c>
      <c r="L8" s="28">
        <f>J8*G3</f>
        <v>0</v>
      </c>
      <c r="M8" s="27" t="e">
        <f t="shared" si="1"/>
        <v>#DIV/0!</v>
      </c>
    </row>
    <row r="9" spans="2:13" ht="18" customHeight="1" x14ac:dyDescent="0.2">
      <c r="B9" s="14" t="s">
        <v>89</v>
      </c>
      <c r="C9" s="3">
        <f>COUNTIF(Daten_Anreise!$G$2:$G$200,"MIV fossil")</f>
        <v>36</v>
      </c>
      <c r="D9" s="25">
        <f>C9/C$11</f>
        <v>0.5</v>
      </c>
      <c r="E9" s="12">
        <f>C9*G3</f>
        <v>0</v>
      </c>
      <c r="F9" s="25" t="e">
        <f>E9/E$11</f>
        <v>#DIV/0!</v>
      </c>
      <c r="I9" s="14" t="s">
        <v>104</v>
      </c>
      <c r="J9" s="3">
        <f>COUNTIF(Daten_Anreise!$E$2:$E$200,"train")</f>
        <v>10</v>
      </c>
      <c r="K9" s="25">
        <f t="shared" si="0"/>
        <v>0.1388888888888889</v>
      </c>
      <c r="L9" s="12">
        <f>J9*G3</f>
        <v>0</v>
      </c>
      <c r="M9" s="25" t="e">
        <f t="shared" si="1"/>
        <v>#DIV/0!</v>
      </c>
    </row>
    <row r="10" spans="2:13" ht="18" customHeight="1" x14ac:dyDescent="0.2">
      <c r="B10" s="26" t="s">
        <v>61</v>
      </c>
      <c r="C10" s="5">
        <f>COUNTIF(Daten_Anreise!$G$2:$G$200,"MIV elektro/hybrid")</f>
        <v>14</v>
      </c>
      <c r="D10" s="27">
        <f>C10/C$11</f>
        <v>0.19444444444444445</v>
      </c>
      <c r="E10" s="28">
        <f>C10*G3</f>
        <v>0</v>
      </c>
      <c r="F10" s="27" t="e">
        <f>E10/E$11</f>
        <v>#DIV/0!</v>
      </c>
      <c r="I10" s="26" t="s">
        <v>110</v>
      </c>
      <c r="J10" s="5">
        <f>COUNTIF(Daten_Anreise!$E$2:$E$200,"bus")</f>
        <v>2</v>
      </c>
      <c r="K10" s="27">
        <f t="shared" si="0"/>
        <v>2.7777777777777776E-2</v>
      </c>
      <c r="L10" s="28">
        <f>J10*G3</f>
        <v>0</v>
      </c>
      <c r="M10" s="27" t="e">
        <f t="shared" si="1"/>
        <v>#DIV/0!</v>
      </c>
    </row>
    <row r="11" spans="2:13" ht="18" customHeight="1" x14ac:dyDescent="0.2">
      <c r="B11" s="13" t="s">
        <v>220</v>
      </c>
      <c r="C11" s="13">
        <f>SUM(C7:C10)</f>
        <v>72</v>
      </c>
      <c r="D11" s="13" t="s">
        <v>25</v>
      </c>
      <c r="E11" s="13">
        <f>SUM(E7:E10)</f>
        <v>0</v>
      </c>
      <c r="F11" s="13" t="s">
        <v>25</v>
      </c>
      <c r="I11" s="14" t="s">
        <v>88</v>
      </c>
      <c r="J11" s="3">
        <f>COUNTIF(Daten_Anreise!$E$2:$E$200,"car_diesel")</f>
        <v>34</v>
      </c>
      <c r="K11" s="25">
        <f t="shared" si="0"/>
        <v>0.47222222222222221</v>
      </c>
      <c r="L11" s="12">
        <f>J11*G3</f>
        <v>0</v>
      </c>
      <c r="M11" s="25" t="e">
        <f t="shared" si="1"/>
        <v>#DIV/0!</v>
      </c>
    </row>
    <row r="12" spans="2:13" ht="18" customHeight="1" x14ac:dyDescent="0.2">
      <c r="I12" s="26" t="s">
        <v>96</v>
      </c>
      <c r="J12" s="5">
        <f>COUNTIF(Daten_Anreise!$E$2:$E$200,"car_petrol")</f>
        <v>2</v>
      </c>
      <c r="K12" s="27">
        <f t="shared" si="0"/>
        <v>2.7777777777777776E-2</v>
      </c>
      <c r="L12" s="28">
        <f>J12*G3</f>
        <v>0</v>
      </c>
      <c r="M12" s="27" t="e">
        <f t="shared" si="1"/>
        <v>#DIV/0!</v>
      </c>
    </row>
    <row r="13" spans="2:13" ht="18" customHeight="1" x14ac:dyDescent="0.2">
      <c r="I13" s="14" t="s">
        <v>60</v>
      </c>
      <c r="J13" s="3">
        <f>COUNTIF(Daten_Anreise!$E$2:$E$200,"car_electric")</f>
        <v>10</v>
      </c>
      <c r="K13" s="25">
        <f t="shared" si="0"/>
        <v>0.1388888888888889</v>
      </c>
      <c r="L13" s="12">
        <f>J13*G3</f>
        <v>0</v>
      </c>
      <c r="M13" s="25" t="e">
        <f t="shared" si="1"/>
        <v>#DIV/0!</v>
      </c>
    </row>
    <row r="14" spans="2:13" ht="18" customHeight="1" x14ac:dyDescent="0.2">
      <c r="I14" s="26" t="s">
        <v>73</v>
      </c>
      <c r="J14" s="5">
        <f>COUNTIF(Daten_Anreise!$E$2:$E$200,"car_hybrid")</f>
        <v>4</v>
      </c>
      <c r="K14" s="27">
        <f t="shared" si="0"/>
        <v>5.5555555555555552E-2</v>
      </c>
      <c r="L14" s="28">
        <f>J14*G3</f>
        <v>0</v>
      </c>
      <c r="M14" s="27" t="e">
        <f t="shared" si="1"/>
        <v>#DIV/0!</v>
      </c>
    </row>
    <row r="15" spans="2:13" x14ac:dyDescent="0.2">
      <c r="I15" s="13" t="s">
        <v>220</v>
      </c>
      <c r="J15" s="13">
        <f>SUM(J7:J14)</f>
        <v>72</v>
      </c>
      <c r="K15" s="13" t="s">
        <v>25</v>
      </c>
      <c r="L15" s="13">
        <f>SUM(L7:L14)</f>
        <v>0</v>
      </c>
      <c r="M15" s="13" t="s">
        <v>25</v>
      </c>
    </row>
  </sheetData>
  <mergeCells count="1">
    <mergeCell ref="B1:M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"/>
  <sheetViews>
    <sheetView showGridLines="0" workbookViewId="0">
      <selection activeCell="I16" sqref="I16"/>
    </sheetView>
  </sheetViews>
  <sheetFormatPr baseColWidth="10" defaultColWidth="8.83203125" defaultRowHeight="15" x14ac:dyDescent="0.2"/>
  <cols>
    <col min="1" max="1" width="3" customWidth="1"/>
    <col min="2" max="2" width="22" customWidth="1"/>
    <col min="3" max="4" width="14" customWidth="1"/>
    <col min="5" max="5" width="16" customWidth="1"/>
    <col min="6" max="6" width="14" customWidth="1"/>
    <col min="7" max="8" width="3" customWidth="1"/>
    <col min="9" max="9" width="26" customWidth="1"/>
    <col min="10" max="10" width="16" customWidth="1"/>
  </cols>
  <sheetData>
    <row r="1" spans="2:10" ht="30" customHeight="1" x14ac:dyDescent="0.2">
      <c r="B1" s="35" t="s">
        <v>221</v>
      </c>
      <c r="C1" s="36"/>
      <c r="D1" s="36"/>
      <c r="E1" s="36"/>
      <c r="F1" s="36"/>
      <c r="G1" s="36"/>
      <c r="H1" s="36"/>
      <c r="I1" s="36"/>
      <c r="J1" s="36"/>
    </row>
    <row r="2" spans="2:10" ht="6" customHeight="1" x14ac:dyDescent="0.2"/>
    <row r="3" spans="2:10" ht="39" x14ac:dyDescent="0.2">
      <c r="B3" s="6" t="s">
        <v>11</v>
      </c>
      <c r="C3" s="7">
        <f>COUNTA(Daten_Anreise!$B$2:$B$200)</f>
        <v>72</v>
      </c>
      <c r="D3" s="6" t="s">
        <v>12</v>
      </c>
      <c r="E3" s="8">
        <f>'01_Übersicht'!$E$10</f>
        <v>0</v>
      </c>
      <c r="F3" s="6" t="s">
        <v>13</v>
      </c>
      <c r="G3" s="9">
        <f>IFERROR(E3/C3,"—")</f>
        <v>0</v>
      </c>
    </row>
    <row r="5" spans="2:10" ht="20" customHeight="1" x14ac:dyDescent="0.2">
      <c r="B5" s="1" t="s">
        <v>222</v>
      </c>
      <c r="I5" s="1" t="s">
        <v>223</v>
      </c>
    </row>
    <row r="6" spans="2:10" ht="18" customHeight="1" x14ac:dyDescent="0.2">
      <c r="B6" s="22" t="s">
        <v>41</v>
      </c>
      <c r="C6" s="22" t="s">
        <v>51</v>
      </c>
      <c r="D6" s="22" t="s">
        <v>216</v>
      </c>
      <c r="E6" s="22" t="s">
        <v>224</v>
      </c>
      <c r="F6" s="22" t="s">
        <v>218</v>
      </c>
      <c r="I6" s="14" t="s">
        <v>225</v>
      </c>
      <c r="J6" s="29" t="s">
        <v>226</v>
      </c>
    </row>
    <row r="7" spans="2:10" ht="18" customHeight="1" x14ac:dyDescent="0.2">
      <c r="B7" s="14" t="s">
        <v>105</v>
      </c>
      <c r="C7" s="10">
        <f>SUMIF(Daten_Anreise!$G$2:$G$200,"ÖV",Daten_Anreise!$P$2:$P$200)/1000</f>
        <v>21.631</v>
      </c>
      <c r="D7" s="25">
        <f>C7/C$10</f>
        <v>7.1569899019309421E-2</v>
      </c>
      <c r="E7" s="10">
        <f>C7*G3</f>
        <v>0</v>
      </c>
      <c r="F7" s="25" t="e">
        <f>E7/E$10</f>
        <v>#DIV/0!</v>
      </c>
      <c r="I7" s="14" t="s">
        <v>227</v>
      </c>
      <c r="J7" s="29" t="s">
        <v>228</v>
      </c>
    </row>
    <row r="8" spans="2:10" ht="18" customHeight="1" x14ac:dyDescent="0.2">
      <c r="B8" s="26" t="s">
        <v>89</v>
      </c>
      <c r="C8" s="11">
        <f>SUMIF(Daten_Anreise!$G$2:$G$200,"MIV fossil",Daten_Anreise!$P$2:$P$200)/1000</f>
        <v>193.529</v>
      </c>
      <c r="D8" s="27">
        <f>C8/C$10</f>
        <v>0.64032411757699281</v>
      </c>
      <c r="E8" s="11">
        <f>C8*G3</f>
        <v>0</v>
      </c>
      <c r="F8" s="27" t="e">
        <f>E8/E$10</f>
        <v>#DIV/0!</v>
      </c>
      <c r="I8" s="14" t="s">
        <v>229</v>
      </c>
      <c r="J8" s="29" t="s">
        <v>19</v>
      </c>
    </row>
    <row r="9" spans="2:10" ht="18" customHeight="1" x14ac:dyDescent="0.2">
      <c r="B9" s="14" t="s">
        <v>61</v>
      </c>
      <c r="C9" s="10">
        <f>SUMIF(Daten_Anreise!$G$2:$G$200,"MIV elektro/hybrid",Daten_Anreise!$P$2:$P$200)/1000</f>
        <v>87.075999999999993</v>
      </c>
      <c r="D9" s="25">
        <f>C9/C$10</f>
        <v>0.28810598340369775</v>
      </c>
      <c r="E9" s="10">
        <f>C9*G3</f>
        <v>0</v>
      </c>
      <c r="F9" s="25" t="e">
        <f>E9/E$10</f>
        <v>#DIV/0!</v>
      </c>
      <c r="I9" s="14" t="s">
        <v>230</v>
      </c>
      <c r="J9" s="29" t="str">
        <f>IFERROR(J8*G3,"—")</f>
        <v>—</v>
      </c>
    </row>
    <row r="10" spans="2:10" x14ac:dyDescent="0.2">
      <c r="B10" s="13" t="s">
        <v>220</v>
      </c>
      <c r="C10" s="30">
        <f>SUM(C7:C9)</f>
        <v>302.23599999999999</v>
      </c>
      <c r="D10" s="13" t="s">
        <v>25</v>
      </c>
      <c r="E10" s="30">
        <f>SUM(E7:E9)</f>
        <v>0</v>
      </c>
      <c r="F10" s="13" t="s">
        <v>25</v>
      </c>
    </row>
  </sheetData>
  <mergeCells count="1">
    <mergeCell ref="B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5"/>
  <sheetViews>
    <sheetView showGridLines="0" workbookViewId="0">
      <selection activeCell="K4" sqref="K4"/>
    </sheetView>
  </sheetViews>
  <sheetFormatPr baseColWidth="10" defaultColWidth="8.83203125" defaultRowHeight="15" x14ac:dyDescent="0.2"/>
  <cols>
    <col min="1" max="1" width="3" customWidth="1"/>
    <col min="2" max="2" width="20" customWidth="1"/>
    <col min="3" max="4" width="12" customWidth="1"/>
    <col min="5" max="6" width="14" customWidth="1"/>
    <col min="7" max="8" width="3" customWidth="1"/>
    <col min="9" max="9" width="22" customWidth="1"/>
    <col min="10" max="11" width="12" customWidth="1"/>
    <col min="12" max="13" width="14" customWidth="1"/>
  </cols>
  <sheetData>
    <row r="1" spans="2:13" ht="30" customHeight="1" x14ac:dyDescent="0.2">
      <c r="B1" s="35" t="s">
        <v>231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6" customHeight="1" x14ac:dyDescent="0.2"/>
    <row r="3" spans="2:13" ht="52" x14ac:dyDescent="0.2">
      <c r="B3" s="6" t="s">
        <v>11</v>
      </c>
      <c r="C3" s="7">
        <f>COUNTA(Daten_Anreise!$B$2:$B$200)</f>
        <v>72</v>
      </c>
      <c r="D3" s="6" t="s">
        <v>12</v>
      </c>
      <c r="E3" s="8">
        <f>'01_Übersicht'!$E$10</f>
        <v>0</v>
      </c>
      <c r="F3" s="6" t="s">
        <v>13</v>
      </c>
      <c r="G3" s="9">
        <f>IFERROR(E3/C3,"—")</f>
        <v>0</v>
      </c>
    </row>
    <row r="5" spans="2:13" ht="30" x14ac:dyDescent="0.2">
      <c r="B5" s="1" t="s">
        <v>232</v>
      </c>
      <c r="I5" s="1" t="s">
        <v>233</v>
      </c>
    </row>
    <row r="6" spans="2:13" x14ac:dyDescent="0.2">
      <c r="B6" s="22" t="s">
        <v>48</v>
      </c>
      <c r="C6" s="22" t="s">
        <v>22</v>
      </c>
      <c r="D6" s="22" t="s">
        <v>216</v>
      </c>
      <c r="E6" s="22" t="s">
        <v>217</v>
      </c>
      <c r="F6" s="22" t="s">
        <v>218</v>
      </c>
      <c r="I6" s="22" t="s">
        <v>42</v>
      </c>
      <c r="J6" s="22" t="s">
        <v>22</v>
      </c>
      <c r="K6" s="22" t="s">
        <v>216</v>
      </c>
      <c r="L6" s="22" t="s">
        <v>217</v>
      </c>
      <c r="M6" s="22" t="s">
        <v>218</v>
      </c>
    </row>
    <row r="7" spans="2:13" ht="18" customHeight="1" x14ac:dyDescent="0.2">
      <c r="B7" s="14" t="s">
        <v>119</v>
      </c>
      <c r="C7" s="3">
        <f>COUNTIFS(Daten_Anreise!$M$2:$M$200,"&gt;=0",Daten_Anreise!$M$2:$M$200,"&lt;5")</f>
        <v>3</v>
      </c>
      <c r="D7" s="25">
        <f t="shared" ref="D7:D14" si="0">C7/C$15</f>
        <v>4.1666666666666664E-2</v>
      </c>
      <c r="E7" s="12">
        <f>C7*G3</f>
        <v>0</v>
      </c>
      <c r="F7" s="25" t="e">
        <f t="shared" ref="F7:F14" si="1">E7/E$15</f>
        <v>#DIV/0!</v>
      </c>
      <c r="I7" s="14" t="s">
        <v>82</v>
      </c>
      <c r="J7" s="3">
        <f>COUNTIF(Daten_Anreise!$H$2:$H$200,"Saalfelden am Steinernen Meer")</f>
        <v>38</v>
      </c>
      <c r="K7" s="25">
        <f t="shared" ref="K7:K18" si="2">J7/J$19</f>
        <v>0.60317460317460314</v>
      </c>
      <c r="L7" s="12">
        <f>J7*G3</f>
        <v>0</v>
      </c>
      <c r="M7" s="25" t="e">
        <f t="shared" ref="M7:M18" si="3">L7/L$19</f>
        <v>#DIV/0!</v>
      </c>
    </row>
    <row r="8" spans="2:13" ht="18" customHeight="1" x14ac:dyDescent="0.2">
      <c r="B8" s="26" t="s">
        <v>74</v>
      </c>
      <c r="C8" s="5">
        <f>COUNTIFS(Daten_Anreise!$M$2:$M$200,"&gt;=5",Daten_Anreise!$M$2:$M$200,"&lt;20")</f>
        <v>43</v>
      </c>
      <c r="D8" s="27">
        <f t="shared" si="0"/>
        <v>0.59722222222222221</v>
      </c>
      <c r="E8" s="28">
        <f>C8*G3</f>
        <v>0</v>
      </c>
      <c r="F8" s="27" t="e">
        <f t="shared" si="1"/>
        <v>#DIV/0!</v>
      </c>
      <c r="I8" s="26" t="s">
        <v>65</v>
      </c>
      <c r="J8" s="5">
        <f>COUNTIF(Daten_Anreise!$H$2:$H$200,"Salzburg")</f>
        <v>7</v>
      </c>
      <c r="K8" s="27">
        <f t="shared" si="2"/>
        <v>0.1111111111111111</v>
      </c>
      <c r="L8" s="28">
        <f>J8*G3</f>
        <v>0</v>
      </c>
      <c r="M8" s="27" t="e">
        <f t="shared" si="3"/>
        <v>#DIV/0!</v>
      </c>
    </row>
    <row r="9" spans="2:13" ht="18" customHeight="1" x14ac:dyDescent="0.2">
      <c r="B9" s="14" t="s">
        <v>66</v>
      </c>
      <c r="C9" s="3">
        <f>COUNTIFS(Daten_Anreise!$M$2:$M$200,"&gt;=20",Daten_Anreise!$M$2:$M$200,"&lt;50")</f>
        <v>11</v>
      </c>
      <c r="D9" s="25">
        <f t="shared" si="0"/>
        <v>0.15277777777777779</v>
      </c>
      <c r="E9" s="12">
        <f>C9*G3</f>
        <v>0</v>
      </c>
      <c r="F9" s="25" t="e">
        <f t="shared" si="1"/>
        <v>#DIV/0!</v>
      </c>
      <c r="I9" s="14" t="s">
        <v>62</v>
      </c>
      <c r="J9" s="3">
        <f>COUNTIF(Daten_Anreise!$H$2:$H$200,"Leogang")</f>
        <v>6</v>
      </c>
      <c r="K9" s="25">
        <f t="shared" si="2"/>
        <v>9.5238095238095233E-2</v>
      </c>
      <c r="L9" s="12">
        <f>J9*G3</f>
        <v>0</v>
      </c>
      <c r="M9" s="25" t="e">
        <f t="shared" si="3"/>
        <v>#DIV/0!</v>
      </c>
    </row>
    <row r="10" spans="2:13" ht="18" customHeight="1" x14ac:dyDescent="0.2">
      <c r="B10" s="26" t="s">
        <v>156</v>
      </c>
      <c r="C10" s="5">
        <f>COUNTIFS(Daten_Anreise!$M$2:$M$200,"&gt;=50",Daten_Anreise!$M$2:$M$200,"&lt;150")</f>
        <v>11</v>
      </c>
      <c r="D10" s="27">
        <f t="shared" si="0"/>
        <v>0.15277777777777779</v>
      </c>
      <c r="E10" s="28">
        <f>C10*G3</f>
        <v>0</v>
      </c>
      <c r="F10" s="27" t="e">
        <f t="shared" si="1"/>
        <v>#DIV/0!</v>
      </c>
      <c r="I10" s="26" t="s">
        <v>117</v>
      </c>
      <c r="J10" s="5">
        <f>COUNTIF(Daten_Anreise!$H$2:$H$200,"Zell am See")</f>
        <v>3</v>
      </c>
      <c r="K10" s="27">
        <f t="shared" si="2"/>
        <v>4.7619047619047616E-2</v>
      </c>
      <c r="L10" s="28">
        <f>J10*G3</f>
        <v>0</v>
      </c>
      <c r="M10" s="27" t="e">
        <f t="shared" si="3"/>
        <v>#DIV/0!</v>
      </c>
    </row>
    <row r="11" spans="2:13" ht="18" customHeight="1" x14ac:dyDescent="0.2">
      <c r="B11" s="14" t="s">
        <v>180</v>
      </c>
      <c r="C11" s="3">
        <f>COUNTIFS(Daten_Anreise!$M$2:$M$200,"&gt;=150",Daten_Anreise!$M$2:$M$200,"&lt;300")</f>
        <v>2</v>
      </c>
      <c r="D11" s="25">
        <f t="shared" si="0"/>
        <v>2.7777777777777776E-2</v>
      </c>
      <c r="E11" s="12">
        <f>C11*G3</f>
        <v>0</v>
      </c>
      <c r="F11" s="25" t="e">
        <f t="shared" si="1"/>
        <v>#DIV/0!</v>
      </c>
      <c r="I11" s="14" t="s">
        <v>162</v>
      </c>
      <c r="J11" s="3">
        <f>COUNTIF(Daten_Anreise!$H$2:$H$200,"Bruck an der Großglocknerstraße")</f>
        <v>2</v>
      </c>
      <c r="K11" s="25">
        <f t="shared" si="2"/>
        <v>3.1746031746031744E-2</v>
      </c>
      <c r="L11" s="12">
        <f>J11*G3</f>
        <v>0</v>
      </c>
      <c r="M11" s="25" t="e">
        <f t="shared" si="3"/>
        <v>#DIV/0!</v>
      </c>
    </row>
    <row r="12" spans="2:13" ht="18" customHeight="1" x14ac:dyDescent="0.2">
      <c r="B12" s="26" t="s">
        <v>107</v>
      </c>
      <c r="C12" s="5">
        <f>COUNTIFS(Daten_Anreise!$M$2:$M$200,"&gt;=300",Daten_Anreise!$M$2:$M$200,"&lt;500")</f>
        <v>2</v>
      </c>
      <c r="D12" s="27">
        <f t="shared" si="0"/>
        <v>2.7777777777777776E-2</v>
      </c>
      <c r="E12" s="28">
        <f>C12*G3</f>
        <v>0</v>
      </c>
      <c r="F12" s="27" t="e">
        <f t="shared" si="1"/>
        <v>#DIV/0!</v>
      </c>
      <c r="I12" s="26" t="s">
        <v>177</v>
      </c>
      <c r="J12" s="5">
        <f>COUNTIF(Daten_Anreise!$H$2:$H$200,"Gmunden")</f>
        <v>1</v>
      </c>
      <c r="K12" s="27">
        <f t="shared" si="2"/>
        <v>1.5873015873015872E-2</v>
      </c>
      <c r="L12" s="28">
        <f>J12*G3</f>
        <v>0</v>
      </c>
      <c r="M12" s="27" t="e">
        <f t="shared" si="3"/>
        <v>#DIV/0!</v>
      </c>
    </row>
    <row r="13" spans="2:13" ht="18" customHeight="1" x14ac:dyDescent="0.2">
      <c r="B13" s="14" t="s">
        <v>234</v>
      </c>
      <c r="C13" s="3">
        <f>COUNTIFS(Daten_Anreise!$M$2:$M$200,"&gt;=500",Daten_Anreise!$M$2:$M$200,"&lt;1000")</f>
        <v>0</v>
      </c>
      <c r="D13" s="25">
        <f t="shared" si="0"/>
        <v>0</v>
      </c>
      <c r="E13" s="12">
        <f>C13*G3</f>
        <v>0</v>
      </c>
      <c r="F13" s="25" t="e">
        <f t="shared" si="1"/>
        <v>#DIV/0!</v>
      </c>
      <c r="I13" s="14" t="s">
        <v>208</v>
      </c>
      <c r="J13" s="3">
        <f>COUNTIF(Daten_Anreise!$H$2:$H$200,"Tenneck")</f>
        <v>1</v>
      </c>
      <c r="K13" s="25">
        <f t="shared" si="2"/>
        <v>1.5873015873015872E-2</v>
      </c>
      <c r="L13" s="12">
        <f>J13*G3</f>
        <v>0</v>
      </c>
      <c r="M13" s="25" t="e">
        <f t="shared" si="3"/>
        <v>#DIV/0!</v>
      </c>
    </row>
    <row r="14" spans="2:13" ht="18" customHeight="1" x14ac:dyDescent="0.2">
      <c r="B14" s="26" t="s">
        <v>235</v>
      </c>
      <c r="C14" s="5">
        <f>COUNTIFS(Daten_Anreise!$M$2:$M$200,"&gt;=1000")</f>
        <v>0</v>
      </c>
      <c r="D14" s="27">
        <f t="shared" si="0"/>
        <v>0</v>
      </c>
      <c r="E14" s="28">
        <f>C14*G3</f>
        <v>0</v>
      </c>
      <c r="F14" s="27" t="e">
        <f t="shared" si="1"/>
        <v>#DIV/0!</v>
      </c>
      <c r="I14" s="26" t="s">
        <v>206</v>
      </c>
      <c r="J14" s="5">
        <f>COUNTIF(Daten_Anreise!$H$2:$H$200,"Innsbruck")</f>
        <v>1</v>
      </c>
      <c r="K14" s="27">
        <f t="shared" si="2"/>
        <v>1.5873015873015872E-2</v>
      </c>
      <c r="L14" s="28">
        <f>J14*G3</f>
        <v>0</v>
      </c>
      <c r="M14" s="27" t="e">
        <f t="shared" si="3"/>
        <v>#DIV/0!</v>
      </c>
    </row>
    <row r="15" spans="2:13" ht="18" customHeight="1" x14ac:dyDescent="0.2">
      <c r="B15" s="13" t="s">
        <v>220</v>
      </c>
      <c r="C15" s="13">
        <f>SUM(C7:C14)</f>
        <v>72</v>
      </c>
      <c r="D15" s="13" t="s">
        <v>25</v>
      </c>
      <c r="E15" s="13">
        <f>SUM(E7:E14)</f>
        <v>0</v>
      </c>
      <c r="F15" s="13" t="s">
        <v>25</v>
      </c>
      <c r="I15" s="14" t="s">
        <v>200</v>
      </c>
      <c r="J15" s="3">
        <f>COUNTIF(Daten_Anreise!$H$2:$H$200,"Bad Reichenhall")</f>
        <v>1</v>
      </c>
      <c r="K15" s="25">
        <f t="shared" si="2"/>
        <v>1.5873015873015872E-2</v>
      </c>
      <c r="L15" s="12">
        <f>J15*G3</f>
        <v>0</v>
      </c>
      <c r="M15" s="25" t="e">
        <f t="shared" si="3"/>
        <v>#DIV/0!</v>
      </c>
    </row>
    <row r="16" spans="2:13" ht="18" customHeight="1" x14ac:dyDescent="0.2">
      <c r="I16" s="26" t="s">
        <v>193</v>
      </c>
      <c r="J16" s="5">
        <f>COUNTIF(Daten_Anreise!$H$2:$H$200,"Mils")</f>
        <v>1</v>
      </c>
      <c r="K16" s="27">
        <f t="shared" si="2"/>
        <v>1.5873015873015872E-2</v>
      </c>
      <c r="L16" s="28">
        <f>J16*G3</f>
        <v>0</v>
      </c>
      <c r="M16" s="27" t="e">
        <f t="shared" si="3"/>
        <v>#DIV/0!</v>
      </c>
    </row>
    <row r="17" spans="2:13" ht="18" customHeight="1" x14ac:dyDescent="0.2">
      <c r="I17" s="14" t="s">
        <v>186</v>
      </c>
      <c r="J17" s="3">
        <f>COUNTIF(Daten_Anreise!$H$2:$H$200,"Sankt Veit im Pongau")</f>
        <v>1</v>
      </c>
      <c r="K17" s="25">
        <f t="shared" si="2"/>
        <v>1.5873015873015872E-2</v>
      </c>
      <c r="L17" s="12">
        <f>J17*G3</f>
        <v>0</v>
      </c>
      <c r="M17" s="25" t="e">
        <f t="shared" si="3"/>
        <v>#DIV/0!</v>
      </c>
    </row>
    <row r="18" spans="2:13" ht="30" x14ac:dyDescent="0.2">
      <c r="B18" s="1" t="s">
        <v>236</v>
      </c>
      <c r="I18" s="26" t="s">
        <v>183</v>
      </c>
      <c r="J18" s="5">
        <f>COUNTIF(Daten_Anreise!$H$2:$H$200,"Bad Hofgastein")</f>
        <v>1</v>
      </c>
      <c r="K18" s="27">
        <f t="shared" si="2"/>
        <v>1.5873015873015872E-2</v>
      </c>
      <c r="L18" s="28">
        <f>J18*G3</f>
        <v>0</v>
      </c>
      <c r="M18" s="27" t="e">
        <f t="shared" si="3"/>
        <v>#DIV/0!</v>
      </c>
    </row>
    <row r="19" spans="2:13" x14ac:dyDescent="0.2">
      <c r="B19" s="22" t="s">
        <v>45</v>
      </c>
      <c r="C19" s="22" t="s">
        <v>22</v>
      </c>
      <c r="D19" s="22" t="s">
        <v>216</v>
      </c>
      <c r="E19" s="22" t="s">
        <v>217</v>
      </c>
      <c r="F19" s="22" t="s">
        <v>218</v>
      </c>
      <c r="I19" s="13" t="s">
        <v>220</v>
      </c>
      <c r="J19" s="13">
        <f>SUM(J7:J18)</f>
        <v>63</v>
      </c>
      <c r="K19" s="13" t="s">
        <v>25</v>
      </c>
      <c r="L19" s="13">
        <f>SUM(L7:L18)</f>
        <v>0</v>
      </c>
      <c r="M19" s="13" t="s">
        <v>25</v>
      </c>
    </row>
    <row r="20" spans="2:13" ht="18" customHeight="1" x14ac:dyDescent="0.2">
      <c r="B20" s="14" t="s">
        <v>65</v>
      </c>
      <c r="C20" s="3">
        <f>COUNTIF(Daten_Anreise!$K$2:$K$200,"Salzburg")</f>
        <v>53</v>
      </c>
      <c r="D20" s="25">
        <f>C20/C$25</f>
        <v>0.73611111111111116</v>
      </c>
      <c r="E20" s="12">
        <f>C20*G3</f>
        <v>0</v>
      </c>
      <c r="F20" s="25" t="e">
        <f>E20/E$25</f>
        <v>#DIV/0!</v>
      </c>
    </row>
    <row r="21" spans="2:13" ht="18" customHeight="1" x14ac:dyDescent="0.2">
      <c r="B21" s="26" t="s">
        <v>64</v>
      </c>
      <c r="C21" s="5">
        <f>COUNTIF(Daten_Anreise!$K$2:$K$200,"Österreich")</f>
        <v>15</v>
      </c>
      <c r="D21" s="27">
        <f>C21/C$25</f>
        <v>0.20833333333333334</v>
      </c>
      <c r="E21" s="28">
        <f>C21*G3</f>
        <v>0</v>
      </c>
      <c r="F21" s="27" t="e">
        <f>E21/E$25</f>
        <v>#DIV/0!</v>
      </c>
    </row>
    <row r="22" spans="2:13" ht="18" customHeight="1" x14ac:dyDescent="0.2">
      <c r="B22" s="14" t="s">
        <v>155</v>
      </c>
      <c r="C22" s="3">
        <f>COUNTIF(Daten_Anreise!$K$2:$K$200,"Deutschland")</f>
        <v>2</v>
      </c>
      <c r="D22" s="25">
        <f>C22/C$25</f>
        <v>2.7777777777777776E-2</v>
      </c>
      <c r="E22" s="12">
        <f>C22*G3</f>
        <v>0</v>
      </c>
      <c r="F22" s="25" t="e">
        <f>E22/E$25</f>
        <v>#DIV/0!</v>
      </c>
    </row>
    <row r="23" spans="2:13" ht="18" customHeight="1" x14ac:dyDescent="0.2">
      <c r="B23" s="26" t="s">
        <v>174</v>
      </c>
      <c r="C23" s="5">
        <f>COUNTIF(Daten_Anreise!$K$2:$K$200,"Wien")</f>
        <v>1</v>
      </c>
      <c r="D23" s="27">
        <f>C23/C$25</f>
        <v>1.3888888888888888E-2</v>
      </c>
      <c r="E23" s="28">
        <f>C23*G3</f>
        <v>0</v>
      </c>
      <c r="F23" s="27" t="e">
        <f>E23/E$25</f>
        <v>#DIV/0!</v>
      </c>
    </row>
    <row r="24" spans="2:13" ht="18" customHeight="1" x14ac:dyDescent="0.2">
      <c r="B24" s="14" t="s">
        <v>179</v>
      </c>
      <c r="C24" s="3">
        <f>COUNTIF(Daten_Anreise!$K$2:$K$200,"Oberösterreich")</f>
        <v>1</v>
      </c>
      <c r="D24" s="25">
        <f>C24/C$25</f>
        <v>1.3888888888888888E-2</v>
      </c>
      <c r="E24" s="12">
        <f>C24*G3</f>
        <v>0</v>
      </c>
      <c r="F24" s="25" t="e">
        <f>E24/E$25</f>
        <v>#DIV/0!</v>
      </c>
    </row>
    <row r="25" spans="2:13" x14ac:dyDescent="0.2">
      <c r="B25" s="13" t="s">
        <v>220</v>
      </c>
      <c r="C25" s="13">
        <f>SUM(C20:C24)</f>
        <v>72</v>
      </c>
      <c r="D25" s="13" t="s">
        <v>25</v>
      </c>
      <c r="E25" s="13">
        <f>SUM(E20:E24)</f>
        <v>0</v>
      </c>
      <c r="F25" s="13" t="s">
        <v>25</v>
      </c>
    </row>
  </sheetData>
  <mergeCells count="1">
    <mergeCell ref="B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31"/>
  <sheetViews>
    <sheetView showGridLines="0" topLeftCell="A3" workbookViewId="0">
      <selection activeCell="C11" sqref="C11"/>
    </sheetView>
  </sheetViews>
  <sheetFormatPr baseColWidth="10" defaultColWidth="8.83203125" defaultRowHeight="15" x14ac:dyDescent="0.2"/>
  <cols>
    <col min="1" max="1" width="3" customWidth="1"/>
    <col min="2" max="2" width="20" customWidth="1"/>
    <col min="3" max="4" width="12" customWidth="1"/>
    <col min="5" max="6" width="14" customWidth="1"/>
    <col min="7" max="8" width="3" customWidth="1"/>
    <col min="9" max="9" width="2" customWidth="1"/>
    <col min="10" max="10" width="3" customWidth="1"/>
  </cols>
  <sheetData>
    <row r="1" spans="2:10" ht="30" customHeight="1" x14ac:dyDescent="0.2">
      <c r="B1" s="35" t="s">
        <v>237</v>
      </c>
      <c r="C1" s="36"/>
      <c r="D1" s="36"/>
      <c r="E1" s="36"/>
      <c r="F1" s="36"/>
      <c r="G1" s="36"/>
      <c r="H1" s="36"/>
      <c r="I1" s="36"/>
      <c r="J1" s="36"/>
    </row>
    <row r="2" spans="2:10" ht="6" customHeight="1" x14ac:dyDescent="0.2"/>
    <row r="3" spans="2:10" ht="52" x14ac:dyDescent="0.2">
      <c r="B3" s="6" t="s">
        <v>11</v>
      </c>
      <c r="C3" s="7">
        <f>COUNTA(Daten_Anreise!$R$2:$R$200)</f>
        <v>50</v>
      </c>
      <c r="D3" s="6" t="s">
        <v>12</v>
      </c>
      <c r="E3" s="8">
        <f>'01_Übersicht'!$E$10</f>
        <v>0</v>
      </c>
      <c r="F3" s="6" t="s">
        <v>13</v>
      </c>
      <c r="G3" s="9">
        <f>IFERROR(E3/C3,"—")</f>
        <v>0</v>
      </c>
    </row>
    <row r="5" spans="2:10" ht="30" x14ac:dyDescent="0.2">
      <c r="B5" s="1" t="s">
        <v>238</v>
      </c>
    </row>
    <row r="6" spans="2:10" x14ac:dyDescent="0.2">
      <c r="B6" s="22" t="s">
        <v>52</v>
      </c>
      <c r="C6" s="22" t="s">
        <v>22</v>
      </c>
      <c r="D6" s="22" t="s">
        <v>216</v>
      </c>
      <c r="E6" s="22" t="s">
        <v>217</v>
      </c>
      <c r="F6" s="22" t="s">
        <v>218</v>
      </c>
    </row>
    <row r="7" spans="2:10" ht="18" customHeight="1" x14ac:dyDescent="0.2">
      <c r="B7" s="14" t="s">
        <v>75</v>
      </c>
      <c r="C7" s="3">
        <f>COUNTIF(Daten_Anreise!$R$2:$R$200,"männlich")</f>
        <v>23</v>
      </c>
      <c r="D7" s="25">
        <f>C7/C$9</f>
        <v>0.46</v>
      </c>
      <c r="E7" s="12">
        <f>C7*G3</f>
        <v>0</v>
      </c>
      <c r="F7" s="25" t="e">
        <f>E7/E$9</f>
        <v>#DIV/0!</v>
      </c>
    </row>
    <row r="8" spans="2:10" ht="18" customHeight="1" x14ac:dyDescent="0.2">
      <c r="B8" s="26" t="s">
        <v>67</v>
      </c>
      <c r="C8" s="5">
        <f>COUNTIF(Daten_Anreise!$R$2:$R$200,"weiblich")</f>
        <v>27</v>
      </c>
      <c r="D8" s="27">
        <f>C8/C$9</f>
        <v>0.54</v>
      </c>
      <c r="E8" s="28">
        <f>C8*G3</f>
        <v>0</v>
      </c>
      <c r="F8" s="27" t="e">
        <f>E8/E$9</f>
        <v>#DIV/0!</v>
      </c>
    </row>
    <row r="9" spans="2:10" x14ac:dyDescent="0.2">
      <c r="B9" s="13" t="s">
        <v>220</v>
      </c>
      <c r="C9" s="13">
        <f>SUM(C7:C8)</f>
        <v>50</v>
      </c>
      <c r="D9" s="13" t="s">
        <v>25</v>
      </c>
      <c r="E9" s="13">
        <f>SUM(E7:E8)</f>
        <v>0</v>
      </c>
      <c r="F9" s="13" t="s">
        <v>25</v>
      </c>
    </row>
    <row r="12" spans="2:10" ht="30" x14ac:dyDescent="0.2">
      <c r="B12" s="1" t="s">
        <v>239</v>
      </c>
    </row>
    <row r="13" spans="2:10" x14ac:dyDescent="0.2">
      <c r="B13" s="22" t="s">
        <v>53</v>
      </c>
      <c r="C13" s="22" t="s">
        <v>22</v>
      </c>
      <c r="D13" s="22" t="s">
        <v>216</v>
      </c>
      <c r="E13" s="22" t="s">
        <v>217</v>
      </c>
      <c r="F13" s="22" t="s">
        <v>218</v>
      </c>
    </row>
    <row r="14" spans="2:10" ht="18" customHeight="1" x14ac:dyDescent="0.2">
      <c r="B14" s="14" t="s">
        <v>115</v>
      </c>
      <c r="C14" s="3">
        <f>COUNTIF(Daten_Anreise!$S$2:$S$200,"18-24")</f>
        <v>3</v>
      </c>
      <c r="D14" s="25">
        <f t="shared" ref="D14:D19" si="0">C14/C$20</f>
        <v>0.06</v>
      </c>
      <c r="E14" s="12">
        <f>C14*G3</f>
        <v>0</v>
      </c>
      <c r="F14" s="25" t="e">
        <f t="shared" ref="F14:F19" si="1">E14/E$20</f>
        <v>#DIV/0!</v>
      </c>
    </row>
    <row r="15" spans="2:10" ht="18" customHeight="1" x14ac:dyDescent="0.2">
      <c r="B15" s="26" t="s">
        <v>97</v>
      </c>
      <c r="C15" s="5">
        <f>COUNTIF(Daten_Anreise!$S$2:$S$200,"25-34")</f>
        <v>10</v>
      </c>
      <c r="D15" s="27">
        <f t="shared" si="0"/>
        <v>0.2</v>
      </c>
      <c r="E15" s="28">
        <f>C15*G3</f>
        <v>0</v>
      </c>
      <c r="F15" s="27" t="e">
        <f t="shared" si="1"/>
        <v>#DIV/0!</v>
      </c>
    </row>
    <row r="16" spans="2:10" ht="18" customHeight="1" x14ac:dyDescent="0.2">
      <c r="B16" s="14" t="s">
        <v>101</v>
      </c>
      <c r="C16" s="3">
        <f>COUNTIF(Daten_Anreise!$S$2:$S$200,"35-44")</f>
        <v>15</v>
      </c>
      <c r="D16" s="25">
        <f t="shared" si="0"/>
        <v>0.3</v>
      </c>
      <c r="E16" s="12">
        <f>C16*G3</f>
        <v>0</v>
      </c>
      <c r="F16" s="25" t="e">
        <f t="shared" si="1"/>
        <v>#DIV/0!</v>
      </c>
    </row>
    <row r="17" spans="2:8" ht="18" customHeight="1" x14ac:dyDescent="0.2">
      <c r="B17" s="26" t="s">
        <v>76</v>
      </c>
      <c r="C17" s="5">
        <f>COUNTIF(Daten_Anreise!$S$2:$S$200,"45-54")</f>
        <v>12</v>
      </c>
      <c r="D17" s="27">
        <f t="shared" si="0"/>
        <v>0.24</v>
      </c>
      <c r="E17" s="28">
        <f>C17*G3</f>
        <v>0</v>
      </c>
      <c r="F17" s="27" t="e">
        <f t="shared" si="1"/>
        <v>#DIV/0!</v>
      </c>
    </row>
    <row r="18" spans="2:8" ht="18" customHeight="1" x14ac:dyDescent="0.2">
      <c r="B18" s="14" t="s">
        <v>90</v>
      </c>
      <c r="C18" s="3">
        <f>COUNTIF(Daten_Anreise!$S$2:$S$200,"55-64")</f>
        <v>9</v>
      </c>
      <c r="D18" s="25">
        <f t="shared" si="0"/>
        <v>0.18</v>
      </c>
      <c r="E18" s="12">
        <f>C18*G3</f>
        <v>0</v>
      </c>
      <c r="F18" s="25" t="e">
        <f t="shared" si="1"/>
        <v>#DIV/0!</v>
      </c>
    </row>
    <row r="19" spans="2:8" ht="18" customHeight="1" x14ac:dyDescent="0.2">
      <c r="B19" s="26" t="s">
        <v>68</v>
      </c>
      <c r="C19" s="5">
        <f>COUNTIF(Daten_Anreise!$S$2:$S$200,"64+")</f>
        <v>1</v>
      </c>
      <c r="D19" s="27">
        <f t="shared" si="0"/>
        <v>0.02</v>
      </c>
      <c r="E19" s="28">
        <f>C19*G3</f>
        <v>0</v>
      </c>
      <c r="F19" s="27" t="e">
        <f t="shared" si="1"/>
        <v>#DIV/0!</v>
      </c>
    </row>
    <row r="20" spans="2:8" x14ac:dyDescent="0.2">
      <c r="B20" s="13" t="s">
        <v>220</v>
      </c>
      <c r="C20" s="13">
        <f>SUM(C14:C19)</f>
        <v>50</v>
      </c>
      <c r="D20" s="13" t="s">
        <v>25</v>
      </c>
      <c r="E20" s="13">
        <f>SUM(E14:E19)</f>
        <v>0</v>
      </c>
      <c r="F20" s="13" t="s">
        <v>25</v>
      </c>
    </row>
    <row r="23" spans="2:8" ht="20" customHeight="1" x14ac:dyDescent="0.2">
      <c r="B23" s="37" t="s">
        <v>240</v>
      </c>
      <c r="C23" s="33"/>
      <c r="D23" s="33"/>
      <c r="E23" s="33"/>
      <c r="F23" s="33"/>
      <c r="G23" s="33"/>
      <c r="H23" s="33"/>
    </row>
    <row r="24" spans="2:8" x14ac:dyDescent="0.2">
      <c r="B24" s="22" t="s">
        <v>53</v>
      </c>
      <c r="C24" s="22" t="s">
        <v>75</v>
      </c>
      <c r="D24" s="22" t="s">
        <v>67</v>
      </c>
    </row>
    <row r="25" spans="2:8" ht="18" customHeight="1" x14ac:dyDescent="0.2">
      <c r="B25" s="14" t="s">
        <v>115</v>
      </c>
      <c r="C25" s="25">
        <f>COUNTIFS(Daten_Anreise!$S$2:$S$200,"18-24",Daten_Anreise!$R$2:$R$200,"männlich")/COUNTA(Daten_Anreise!$R$2:$R$200)</f>
        <v>0.06</v>
      </c>
      <c r="D25" s="25">
        <f>COUNTIFS(Daten_Anreise!$S$2:$S$200,"18-24",Daten_Anreise!$R$2:$R$200,"weiblich")/COUNTA(Daten_Anreise!$R$2:$R$200)</f>
        <v>0</v>
      </c>
    </row>
    <row r="26" spans="2:8" ht="18" customHeight="1" x14ac:dyDescent="0.2">
      <c r="B26" s="26" t="s">
        <v>97</v>
      </c>
      <c r="C26" s="27">
        <f>COUNTIFS(Daten_Anreise!$S$2:$S$200,"25-34",Daten_Anreise!$R$2:$R$200,"männlich")/COUNTA(Daten_Anreise!$R$2:$R$200)</f>
        <v>0.02</v>
      </c>
      <c r="D26" s="27">
        <f>COUNTIFS(Daten_Anreise!$S$2:$S$200,"25-34",Daten_Anreise!$R$2:$R$200,"weiblich")/COUNTA(Daten_Anreise!$R$2:$R$200)</f>
        <v>0.18</v>
      </c>
    </row>
    <row r="27" spans="2:8" ht="18" customHeight="1" x14ac:dyDescent="0.2">
      <c r="B27" s="14" t="s">
        <v>101</v>
      </c>
      <c r="C27" s="25">
        <f>COUNTIFS(Daten_Anreise!$S$2:$S$200,"35-44",Daten_Anreise!$R$2:$R$200,"männlich")/COUNTA(Daten_Anreise!$R$2:$R$200)</f>
        <v>0.16</v>
      </c>
      <c r="D27" s="25">
        <f>COUNTIFS(Daten_Anreise!$S$2:$S$200,"35-44",Daten_Anreise!$R$2:$R$200,"weiblich")/COUNTA(Daten_Anreise!$R$2:$R$200)</f>
        <v>0.14000000000000001</v>
      </c>
    </row>
    <row r="28" spans="2:8" ht="18" customHeight="1" x14ac:dyDescent="0.2">
      <c r="B28" s="26" t="s">
        <v>76</v>
      </c>
      <c r="C28" s="27">
        <f>COUNTIFS(Daten_Anreise!$S$2:$S$200,"45-54",Daten_Anreise!$R$2:$R$200,"männlich")/COUNTA(Daten_Anreise!$R$2:$R$200)</f>
        <v>0.12</v>
      </c>
      <c r="D28" s="27">
        <f>COUNTIFS(Daten_Anreise!$S$2:$S$200,"45-54",Daten_Anreise!$R$2:$R$200,"weiblich")/COUNTA(Daten_Anreise!$R$2:$R$200)</f>
        <v>0.12</v>
      </c>
    </row>
    <row r="29" spans="2:8" ht="18" customHeight="1" x14ac:dyDescent="0.2">
      <c r="B29" s="14" t="s">
        <v>90</v>
      </c>
      <c r="C29" s="25">
        <f>COUNTIFS(Daten_Anreise!$S$2:$S$200,"55-64",Daten_Anreise!$R$2:$R$200,"männlich")/COUNTA(Daten_Anreise!$R$2:$R$200)</f>
        <v>0.1</v>
      </c>
      <c r="D29" s="25">
        <f>COUNTIFS(Daten_Anreise!$S$2:$S$200,"55-64",Daten_Anreise!$R$2:$R$200,"weiblich")/COUNTA(Daten_Anreise!$R$2:$R$200)</f>
        <v>0.08</v>
      </c>
    </row>
    <row r="30" spans="2:8" ht="18" customHeight="1" x14ac:dyDescent="0.2">
      <c r="B30" s="26" t="s">
        <v>68</v>
      </c>
      <c r="C30" s="27">
        <f>COUNTIFS(Daten_Anreise!$S$2:$S$200,"64+",Daten_Anreise!$R$2:$R$200,"männlich")/COUNTA(Daten_Anreise!$R$2:$R$200)</f>
        <v>0</v>
      </c>
      <c r="D30" s="27">
        <f>COUNTIFS(Daten_Anreise!$S$2:$S$200,"64+",Daten_Anreise!$R$2:$R$200,"weiblich")/COUNTA(Daten_Anreise!$R$2:$R$200)</f>
        <v>0.02</v>
      </c>
    </row>
    <row r="31" spans="2:8" ht="18" customHeight="1" x14ac:dyDescent="0.2">
      <c r="B31" s="13" t="s">
        <v>220</v>
      </c>
      <c r="C31" s="31">
        <f>SUM(C25:C30)</f>
        <v>0.45999999999999996</v>
      </c>
      <c r="D31" s="31">
        <f>SUM(D25:D30)</f>
        <v>0.54</v>
      </c>
    </row>
  </sheetData>
  <mergeCells count="2">
    <mergeCell ref="B1:J1"/>
    <mergeCell ref="B23:H2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1"/>
  <sheetViews>
    <sheetView showGridLines="0" tabSelected="1" workbookViewId="0">
      <selection activeCell="F28" sqref="F28"/>
    </sheetView>
  </sheetViews>
  <sheetFormatPr baseColWidth="10" defaultColWidth="8.83203125" defaultRowHeight="15" x14ac:dyDescent="0.2"/>
  <cols>
    <col min="1" max="1" width="3" customWidth="1"/>
    <col min="2" max="2" width="34" customWidth="1"/>
    <col min="3" max="4" width="12" customWidth="1"/>
    <col min="5" max="6" width="14" customWidth="1"/>
    <col min="7" max="8" width="3" customWidth="1"/>
    <col min="9" max="9" width="34" customWidth="1"/>
    <col min="10" max="11" width="12" customWidth="1"/>
  </cols>
  <sheetData>
    <row r="1" spans="2:11" ht="30" customHeight="1" x14ac:dyDescent="0.2">
      <c r="B1" s="35" t="s">
        <v>241</v>
      </c>
      <c r="C1" s="36"/>
      <c r="D1" s="36"/>
      <c r="E1" s="36"/>
      <c r="F1" s="36"/>
      <c r="G1" s="36"/>
      <c r="H1" s="36"/>
      <c r="I1" s="36"/>
      <c r="J1" s="36"/>
      <c r="K1" s="36"/>
    </row>
    <row r="2" spans="2:11" ht="6" customHeight="1" x14ac:dyDescent="0.2"/>
    <row r="3" spans="2:11" ht="20" customHeight="1" x14ac:dyDescent="0.2">
      <c r="B3" s="6" t="s">
        <v>242</v>
      </c>
      <c r="C3" s="7">
        <v>49</v>
      </c>
    </row>
    <row r="5" spans="2:11" ht="30" x14ac:dyDescent="0.2">
      <c r="B5" s="1" t="s">
        <v>243</v>
      </c>
    </row>
    <row r="6" spans="2:11" x14ac:dyDescent="0.2">
      <c r="B6" s="22" t="s">
        <v>244</v>
      </c>
      <c r="C6" s="22" t="s">
        <v>22</v>
      </c>
      <c r="D6" s="22" t="s">
        <v>216</v>
      </c>
      <c r="E6" s="22" t="s">
        <v>217</v>
      </c>
      <c r="F6" s="22" t="s">
        <v>218</v>
      </c>
    </row>
    <row r="7" spans="2:11" ht="20" customHeight="1" x14ac:dyDescent="0.2">
      <c r="B7" s="14" t="s">
        <v>245</v>
      </c>
      <c r="C7" s="3">
        <f>COUNTIF(Daten_Anreise!$T$2:$T$200,"*🕒*")</f>
        <v>17</v>
      </c>
      <c r="D7" s="25">
        <f>C7/C$12</f>
        <v>0.34</v>
      </c>
      <c r="E7" s="12">
        <f>C7*Modal_Split!E3/Modal_Split!C3</f>
        <v>0</v>
      </c>
      <c r="F7" s="25" t="e">
        <f>E7/E$12</f>
        <v>#DIV/0!</v>
      </c>
    </row>
    <row r="8" spans="2:11" ht="20" customHeight="1" x14ac:dyDescent="0.2">
      <c r="B8" s="26" t="s">
        <v>246</v>
      </c>
      <c r="C8" s="5">
        <f>COUNTIF(Daten_Anreise!$T$2:$T$200,"*🚶*")</f>
        <v>28</v>
      </c>
      <c r="D8" s="27">
        <f>C8/C$12</f>
        <v>0.56000000000000005</v>
      </c>
      <c r="E8" s="28">
        <f>C8*Modal_Split!E3/Modal_Split!C3</f>
        <v>0</v>
      </c>
      <c r="F8" s="27" t="e">
        <f>E8/E$12</f>
        <v>#DIV/0!</v>
      </c>
    </row>
    <row r="9" spans="2:11" ht="20" customHeight="1" x14ac:dyDescent="0.2">
      <c r="B9" s="14" t="s">
        <v>247</v>
      </c>
      <c r="C9" s="3">
        <f>COUNTIF(Daten_Anreise!$T$2:$T$200,"*🔁*")</f>
        <v>1</v>
      </c>
      <c r="D9" s="25">
        <f>C9/C$12</f>
        <v>0.02</v>
      </c>
      <c r="E9" s="12">
        <f>C9*Modal_Split!E3/Modal_Split!C3</f>
        <v>0</v>
      </c>
      <c r="F9" s="25" t="e">
        <f>E9/E$12</f>
        <v>#DIV/0!</v>
      </c>
    </row>
    <row r="10" spans="2:11" ht="20" customHeight="1" x14ac:dyDescent="0.2">
      <c r="B10" s="26" t="s">
        <v>248</v>
      </c>
      <c r="C10" s="5">
        <f>COUNTIF(Daten_Anreise!$T$2:$T$200,"*💶*")</f>
        <v>1</v>
      </c>
      <c r="D10" s="27">
        <f>C10/C$12</f>
        <v>0.02</v>
      </c>
      <c r="E10" s="28">
        <f>C10*Modal_Split!E3/Modal_Split!C3</f>
        <v>0</v>
      </c>
      <c r="F10" s="27" t="e">
        <f>E10/E$12</f>
        <v>#DIV/0!</v>
      </c>
    </row>
    <row r="11" spans="2:11" ht="20" customHeight="1" x14ac:dyDescent="0.2">
      <c r="B11" s="14" t="s">
        <v>249</v>
      </c>
      <c r="C11" s="3">
        <f>COUNTIF(Daten_Anreise!$T$2:$T$200,"*❓*")</f>
        <v>3</v>
      </c>
      <c r="D11" s="25">
        <f>C11/C$12</f>
        <v>0.06</v>
      </c>
      <c r="E11" s="12">
        <f>C11*Modal_Split!E3/Modal_Split!C3</f>
        <v>0</v>
      </c>
      <c r="F11" s="25" t="e">
        <f>E11/E$12</f>
        <v>#DIV/0!</v>
      </c>
    </row>
    <row r="12" spans="2:11" x14ac:dyDescent="0.2">
      <c r="B12" s="13" t="s">
        <v>220</v>
      </c>
      <c r="C12" s="13">
        <f>SUM(C7:C11)</f>
        <v>50</v>
      </c>
      <c r="D12" s="13"/>
      <c r="E12" s="13">
        <f>SUM(E7:E11)</f>
        <v>0</v>
      </c>
      <c r="F12" s="13"/>
    </row>
    <row r="14" spans="2:11" ht="20" customHeight="1" x14ac:dyDescent="0.2">
      <c r="B14" s="6" t="s">
        <v>250</v>
      </c>
      <c r="C14" s="7">
        <v>31</v>
      </c>
    </row>
    <row r="15" spans="2:11" ht="30" x14ac:dyDescent="0.2">
      <c r="B15" s="1" t="s">
        <v>251</v>
      </c>
    </row>
    <row r="16" spans="2:11" x14ac:dyDescent="0.2">
      <c r="B16" s="22" t="s">
        <v>244</v>
      </c>
      <c r="C16" s="22" t="s">
        <v>22</v>
      </c>
      <c r="D16" s="22" t="s">
        <v>216</v>
      </c>
      <c r="E16" s="22" t="s">
        <v>217</v>
      </c>
      <c r="F16" s="22" t="s">
        <v>218</v>
      </c>
    </row>
    <row r="17" spans="2:6" ht="20" customHeight="1" x14ac:dyDescent="0.2">
      <c r="B17" s="14" t="s">
        <v>252</v>
      </c>
      <c r="C17" s="3">
        <f>COUNTIF(Daten_Anreise!$U$2:$U$200,"*🚎*")</f>
        <v>23</v>
      </c>
      <c r="D17" s="25">
        <f>C17/C$21</f>
        <v>0.69696969696969702</v>
      </c>
      <c r="E17" s="12">
        <f>C17*Modal_Split!E3/Modal_Split!C3</f>
        <v>0</v>
      </c>
      <c r="F17" s="25" t="e">
        <f>E17/E$21</f>
        <v>#DIV/0!</v>
      </c>
    </row>
    <row r="18" spans="2:6" ht="20" customHeight="1" x14ac:dyDescent="0.2">
      <c r="B18" s="26" t="s">
        <v>253</v>
      </c>
      <c r="C18" s="5">
        <f>COUNTIF(Daten_Anreise!$U$2:$U$200,"*🎟*")</f>
        <v>1</v>
      </c>
      <c r="D18" s="27">
        <f>C18/C$21</f>
        <v>3.0303030303030304E-2</v>
      </c>
      <c r="E18" s="28">
        <f>C18*Modal_Split!E3/Modal_Split!C3</f>
        <v>0</v>
      </c>
      <c r="F18" s="27" t="e">
        <f>E18/E$21</f>
        <v>#DIV/0!</v>
      </c>
    </row>
    <row r="19" spans="2:6" ht="20" customHeight="1" x14ac:dyDescent="0.2">
      <c r="B19" s="14" t="s">
        <v>254</v>
      </c>
      <c r="C19" s="3">
        <f>COUNTIF(Daten_Anreise!$U$2:$U$200,"*🅿*")</f>
        <v>3</v>
      </c>
      <c r="D19" s="25">
        <f>C19/C$21</f>
        <v>9.0909090909090912E-2</v>
      </c>
      <c r="E19" s="12">
        <f>C19*Modal_Split!E3/Modal_Split!C3</f>
        <v>0</v>
      </c>
      <c r="F19" s="25" t="e">
        <f>E19/E$21</f>
        <v>#DIV/0!</v>
      </c>
    </row>
    <row r="20" spans="2:6" ht="20" customHeight="1" x14ac:dyDescent="0.2">
      <c r="B20" s="26" t="s">
        <v>255</v>
      </c>
      <c r="C20" s="5">
        <f>COUNTIF(Daten_Anreise!$U$2:$U$200,"*🧭*")</f>
        <v>6</v>
      </c>
      <c r="D20" s="27">
        <f>C20/C$21</f>
        <v>0.18181818181818182</v>
      </c>
      <c r="E20" s="28">
        <f>C20*Modal_Split!E3/Modal_Split!C3</f>
        <v>0</v>
      </c>
      <c r="F20" s="27" t="e">
        <f>E20/E$21</f>
        <v>#DIV/0!</v>
      </c>
    </row>
    <row r="21" spans="2:6" x14ac:dyDescent="0.2">
      <c r="B21" s="13" t="s">
        <v>220</v>
      </c>
      <c r="C21" s="13">
        <f>SUM(C17:C20)</f>
        <v>33</v>
      </c>
      <c r="D21" s="13"/>
      <c r="E21" s="13">
        <f>SUM(E17:E20)</f>
        <v>0</v>
      </c>
      <c r="F21" s="13"/>
    </row>
  </sheetData>
  <mergeCells count="1">
    <mergeCell ref="B1:K1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136C2ADBF57C4985A502BD73E891D3" ma:contentTypeVersion="15" ma:contentTypeDescription="Ein neues Dokument erstellen." ma:contentTypeScope="" ma:versionID="c1db561eed64e4205311a475d697f6ac">
  <xsd:schema xmlns:xsd="http://www.w3.org/2001/XMLSchema" xmlns:xs="http://www.w3.org/2001/XMLSchema" xmlns:p="http://schemas.microsoft.com/office/2006/metadata/properties" xmlns:ns2="bc390e77-f632-4f23-8928-977818115e32" xmlns:ns3="63e656c7-0ade-4233-b76c-1ce965e9fd60" targetNamespace="http://schemas.microsoft.com/office/2006/metadata/properties" ma:root="true" ma:fieldsID="658d75a2fd9d270008626a8861bb7bc0" ns2:_="" ns3:_="">
    <xsd:import namespace="bc390e77-f632-4f23-8928-977818115e32"/>
    <xsd:import namespace="63e656c7-0ade-4233-b76c-1ce965e9f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0e77-f632-4f23-8928-977818115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6e24925-1741-4f12-85eb-63b1ba0db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656c7-0ade-4233-b76c-1ce965e9f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c5568fb-650b-4731-8a68-67f7f6c8c806}" ma:internalName="TaxCatchAll" ma:showField="CatchAllData" ma:web="63e656c7-0ade-4233-b76c-1ce965e9f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390e77-f632-4f23-8928-977818115e32">
      <Terms xmlns="http://schemas.microsoft.com/office/infopath/2007/PartnerControls"/>
    </lcf76f155ced4ddcb4097134ff3c332f>
    <TaxCatchAll xmlns="63e656c7-0ade-4233-b76c-1ce965e9fd60" xsi:nil="true"/>
  </documentManagement>
</p:properties>
</file>

<file path=customXml/itemProps1.xml><?xml version="1.0" encoding="utf-8"?>
<ds:datastoreItem xmlns:ds="http://schemas.openxmlformats.org/officeDocument/2006/customXml" ds:itemID="{D885DDD6-9D2F-4B98-B459-F92FC47AB749}"/>
</file>

<file path=customXml/itemProps2.xml><?xml version="1.0" encoding="utf-8"?>
<ds:datastoreItem xmlns:ds="http://schemas.openxmlformats.org/officeDocument/2006/customXml" ds:itemID="{F40BE23A-089A-4E1E-A26B-70D7B82DEEAC}"/>
</file>

<file path=customXml/itemProps3.xml><?xml version="1.0" encoding="utf-8"?>
<ds:datastoreItem xmlns:ds="http://schemas.openxmlformats.org/officeDocument/2006/customXml" ds:itemID="{4811F600-04C2-4431-AFF0-7695DBDBA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01_Übersicht</vt:lpstr>
      <vt:lpstr>Daten_Anreise</vt:lpstr>
      <vt:lpstr>Modal_Split</vt:lpstr>
      <vt:lpstr>CO2_Bilanz</vt:lpstr>
      <vt:lpstr>Distanz_Herkunft</vt:lpstr>
      <vt:lpstr>Demografie</vt:lpstr>
      <vt:lpstr>Fragen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Benedikt Kramer</cp:lastModifiedBy>
  <dcterms:created xsi:type="dcterms:W3CDTF">2026-04-27T11:16:58Z</dcterms:created>
  <dcterms:modified xsi:type="dcterms:W3CDTF">2026-04-27T11:42:25Z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0x010100E1136C2ADBF57C4985A502BD73E891D3</vt:lpwstr>
  </property>
</Properties>
</file>